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35" windowWidth="20115" windowHeight="6735"/>
  </bookViews>
  <sheets>
    <sheet name="Detail" sheetId="75" r:id="rId1"/>
    <sheet name="Q42017" sheetId="74" r:id="rId2"/>
    <sheet name="Consol March2017" sheetId="77" r:id="rId3"/>
    <sheet name="March2017" sheetId="76" r:id="rId4"/>
    <sheet name="Consol Feb2017 " sheetId="73" r:id="rId5"/>
    <sheet name="Feb 2017" sheetId="72" r:id="rId6"/>
    <sheet name="Consol Jan2017" sheetId="71" r:id="rId7"/>
    <sheet name="Jan 2017" sheetId="70" r:id="rId8"/>
    <sheet name="Consol Q3 OCT-DEC" sheetId="69" r:id="rId9"/>
    <sheet name="Consol DEC2016" sheetId="68" r:id="rId10"/>
    <sheet name="Dec 2016" sheetId="67" r:id="rId11"/>
    <sheet name="Consol NOV2016" sheetId="66" r:id="rId12"/>
    <sheet name="Nov 2016" sheetId="65" r:id="rId13"/>
    <sheet name="Consol OCT 2016 " sheetId="64" r:id="rId14"/>
    <sheet name="Oct 2016" sheetId="63" r:id="rId15"/>
    <sheet name="Q2JUL-SEP2016" sheetId="61" r:id="rId16"/>
    <sheet name="Consol SEP2016" sheetId="60" r:id="rId17"/>
    <sheet name="SEP2016" sheetId="59" r:id="rId18"/>
    <sheet name="Consol AUG2016" sheetId="58" r:id="rId19"/>
    <sheet name="August 2016" sheetId="57" r:id="rId20"/>
    <sheet name="YTD FY2016-17 JUL2016" sheetId="56" r:id="rId21"/>
    <sheet name="Consol JULY2016" sheetId="55" r:id="rId22"/>
    <sheet name="July 2016" sheetId="54" r:id="rId23"/>
    <sheet name="YTD FY2016-17 JUNE" sheetId="51" r:id="rId24"/>
    <sheet name="Consol JUNE2016" sheetId="50" r:id="rId25"/>
    <sheet name="June2016" sheetId="49" r:id="rId26"/>
    <sheet name="YTD FY2016-17" sheetId="43" r:id="rId27"/>
    <sheet name="Consol May2016" sheetId="48" r:id="rId28"/>
    <sheet name="MAY2016" sheetId="45" r:id="rId29"/>
    <sheet name="Consol April2016" sheetId="47" r:id="rId30"/>
    <sheet name="APR2016" sheetId="46" r:id="rId31"/>
    <sheet name="DOY CARE 125gX4 Carton" sheetId="52" r:id="rId32"/>
    <sheet name="Sheet1" sheetId="53" r:id="rId33"/>
  </sheets>
  <calcPr calcId="145621"/>
</workbook>
</file>

<file path=xl/calcChain.xml><?xml version="1.0" encoding="utf-8"?>
<calcChain xmlns="http://schemas.openxmlformats.org/spreadsheetml/2006/main">
  <c r="C33" i="75" l="1"/>
  <c r="E33" i="75"/>
  <c r="C35" i="75"/>
  <c r="E35" i="75"/>
  <c r="C10" i="75"/>
  <c r="E10" i="75"/>
  <c r="C22" i="75"/>
  <c r="E22" i="75"/>
  <c r="C34" i="75"/>
  <c r="C24" i="75"/>
  <c r="C7" i="75"/>
  <c r="C17" i="75"/>
  <c r="E17" i="75"/>
  <c r="E34" i="75"/>
  <c r="E24" i="75"/>
  <c r="E7" i="75"/>
  <c r="H36" i="75"/>
  <c r="G36" i="75"/>
  <c r="F36" i="75"/>
  <c r="D36" i="75"/>
  <c r="C36" i="75" l="1"/>
  <c r="E36" i="75"/>
  <c r="G21" i="74"/>
  <c r="D23" i="73"/>
  <c r="G26" i="74"/>
  <c r="G25" i="74"/>
  <c r="G24" i="74"/>
  <c r="D24" i="74"/>
  <c r="G22" i="74"/>
  <c r="D22" i="74"/>
  <c r="D21" i="74"/>
  <c r="G20" i="74"/>
  <c r="D20" i="74"/>
  <c r="G18" i="74"/>
  <c r="D18" i="74"/>
  <c r="G17" i="74"/>
  <c r="D17" i="74"/>
  <c r="G16" i="74"/>
  <c r="D16" i="74"/>
  <c r="G12" i="74"/>
  <c r="D12" i="74"/>
  <c r="G9" i="74"/>
  <c r="D9" i="74"/>
  <c r="G14" i="74"/>
  <c r="D14" i="74"/>
  <c r="G7" i="74"/>
  <c r="D7" i="74"/>
  <c r="G5" i="74"/>
  <c r="D5" i="74"/>
  <c r="G25" i="77"/>
  <c r="G18" i="77"/>
  <c r="G17" i="77"/>
  <c r="G16" i="77"/>
  <c r="D16" i="77"/>
  <c r="B260" i="76"/>
  <c r="D264" i="76" s="1"/>
  <c r="K254" i="76"/>
  <c r="L254" i="76" s="1"/>
  <c r="N255" i="76" s="1"/>
  <c r="K253" i="76"/>
  <c r="N253" i="76" s="1"/>
  <c r="G252" i="76"/>
  <c r="K252" i="76" s="1"/>
  <c r="N252" i="76" s="1"/>
  <c r="K250" i="76"/>
  <c r="L250" i="76"/>
  <c r="I251" i="76"/>
  <c r="K251" i="76" s="1"/>
  <c r="L251" i="76" s="1"/>
  <c r="N251" i="76" s="1"/>
  <c r="I249" i="76"/>
  <c r="K249" i="76" s="1"/>
  <c r="L249" i="76" s="1"/>
  <c r="H249" i="76"/>
  <c r="K246" i="76"/>
  <c r="L246" i="76" s="1"/>
  <c r="G28" i="74" l="1"/>
  <c r="D261" i="76"/>
  <c r="D263" i="76"/>
  <c r="D265" i="76"/>
  <c r="E264" i="76" s="1"/>
  <c r="G264" i="76" s="1"/>
  <c r="D260" i="76"/>
  <c r="E260" i="76" s="1"/>
  <c r="G260" i="76" s="1"/>
  <c r="D262" i="76"/>
  <c r="N254" i="76"/>
  <c r="L252" i="76"/>
  <c r="L253" i="76"/>
  <c r="M249" i="76"/>
  <c r="N249" i="76" s="1"/>
  <c r="D239" i="76"/>
  <c r="D14" i="77" s="1"/>
  <c r="G13" i="77"/>
  <c r="D13" i="77"/>
  <c r="F209" i="76"/>
  <c r="D22" i="77" s="1"/>
  <c r="F217" i="76"/>
  <c r="D11" i="77" s="1"/>
  <c r="F142" i="76"/>
  <c r="D21" i="77" s="1"/>
  <c r="D121" i="76"/>
  <c r="D20" i="77" s="1"/>
  <c r="D12" i="77"/>
  <c r="E60" i="76"/>
  <c r="D9" i="77" s="1"/>
  <c r="F162" i="76"/>
  <c r="D10" i="77" s="1"/>
  <c r="H25" i="77"/>
  <c r="D60" i="76"/>
  <c r="D8" i="77" s="1"/>
  <c r="D45" i="76"/>
  <c r="D7" i="77" s="1"/>
  <c r="G23" i="77"/>
  <c r="D23" i="77"/>
  <c r="H237" i="76"/>
  <c r="I237" i="76" s="1"/>
  <c r="H236" i="76"/>
  <c r="I236" i="76" s="1"/>
  <c r="H235" i="76"/>
  <c r="I235" i="76" s="1"/>
  <c r="H234" i="76"/>
  <c r="I234" i="76" s="1"/>
  <c r="H229" i="76"/>
  <c r="I229" i="76" s="1"/>
  <c r="J215" i="76"/>
  <c r="K215" i="76" s="1"/>
  <c r="J214" i="76"/>
  <c r="K214" i="76" s="1"/>
  <c r="J207" i="76"/>
  <c r="K207" i="76" s="1"/>
  <c r="J206" i="76"/>
  <c r="K206" i="76" s="1"/>
  <c r="J205" i="76"/>
  <c r="K205" i="76" s="1"/>
  <c r="J204" i="76"/>
  <c r="K204" i="76" s="1"/>
  <c r="J203" i="76"/>
  <c r="K203" i="76" s="1"/>
  <c r="J202" i="76"/>
  <c r="K202" i="76" s="1"/>
  <c r="J201" i="76"/>
  <c r="K201" i="76" s="1"/>
  <c r="J200" i="76"/>
  <c r="K200" i="76" s="1"/>
  <c r="J199" i="76"/>
  <c r="K199" i="76" s="1"/>
  <c r="J198" i="76"/>
  <c r="K198" i="76" s="1"/>
  <c r="J197" i="76"/>
  <c r="K197" i="76" s="1"/>
  <c r="J196" i="76"/>
  <c r="K196" i="76" s="1"/>
  <c r="J195" i="76"/>
  <c r="K195" i="76" s="1"/>
  <c r="J194" i="76"/>
  <c r="K194" i="76" s="1"/>
  <c r="J193" i="76"/>
  <c r="K193" i="76" s="1"/>
  <c r="J192" i="76"/>
  <c r="K192" i="76" s="1"/>
  <c r="J191" i="76"/>
  <c r="K191" i="76" s="1"/>
  <c r="J190" i="76"/>
  <c r="K190" i="76" s="1"/>
  <c r="J189" i="76"/>
  <c r="K189" i="76" s="1"/>
  <c r="J188" i="76"/>
  <c r="K188" i="76" s="1"/>
  <c r="J187" i="76"/>
  <c r="K187" i="76" s="1"/>
  <c r="J186" i="76"/>
  <c r="K186" i="76" s="1"/>
  <c r="J185" i="76"/>
  <c r="K185" i="76" s="1"/>
  <c r="J184" i="76"/>
  <c r="K184" i="76" s="1"/>
  <c r="J183" i="76"/>
  <c r="K183" i="76" s="1"/>
  <c r="J182" i="76"/>
  <c r="K182" i="76" s="1"/>
  <c r="J181" i="76"/>
  <c r="K181" i="76" s="1"/>
  <c r="J180" i="76"/>
  <c r="K180" i="76" s="1"/>
  <c r="J179" i="76"/>
  <c r="K179" i="76" s="1"/>
  <c r="J178" i="76"/>
  <c r="K178" i="76" s="1"/>
  <c r="J177" i="76"/>
  <c r="K177" i="76" s="1"/>
  <c r="J176" i="76"/>
  <c r="K176" i="76" s="1"/>
  <c r="J175" i="76"/>
  <c r="K175" i="76" s="1"/>
  <c r="J174" i="76"/>
  <c r="K174" i="76" s="1"/>
  <c r="J173" i="76"/>
  <c r="K173" i="76" s="1"/>
  <c r="K172" i="76"/>
  <c r="J172" i="76"/>
  <c r="J171" i="76"/>
  <c r="K171" i="76" s="1"/>
  <c r="J170" i="76"/>
  <c r="K170" i="76" s="1"/>
  <c r="J169" i="76"/>
  <c r="K169" i="76" s="1"/>
  <c r="J160" i="76"/>
  <c r="K160" i="76" s="1"/>
  <c r="J159" i="76"/>
  <c r="K159" i="76" s="1"/>
  <c r="J158" i="76"/>
  <c r="K158" i="76" s="1"/>
  <c r="J157" i="76"/>
  <c r="K157" i="76" s="1"/>
  <c r="J156" i="76"/>
  <c r="K156" i="76" s="1"/>
  <c r="J155" i="76"/>
  <c r="K155" i="76" s="1"/>
  <c r="J154" i="76"/>
  <c r="K154" i="76" s="1"/>
  <c r="J153" i="76"/>
  <c r="K153" i="76" s="1"/>
  <c r="J152" i="76"/>
  <c r="K152" i="76" s="1"/>
  <c r="J151" i="76"/>
  <c r="K151" i="76" s="1"/>
  <c r="J150" i="76"/>
  <c r="K150" i="76" s="1"/>
  <c r="J149" i="76"/>
  <c r="K149" i="76" s="1"/>
  <c r="J148" i="76"/>
  <c r="K148" i="76" s="1"/>
  <c r="J147" i="76"/>
  <c r="K147" i="76" s="1"/>
  <c r="J140" i="76"/>
  <c r="K140" i="76" s="1"/>
  <c r="J139" i="76"/>
  <c r="K139" i="76" s="1"/>
  <c r="J138" i="76"/>
  <c r="K138" i="76" s="1"/>
  <c r="J137" i="76"/>
  <c r="K137" i="76" s="1"/>
  <c r="J136" i="76"/>
  <c r="K136" i="76" s="1"/>
  <c r="J135" i="76"/>
  <c r="K135" i="76" s="1"/>
  <c r="J134" i="76"/>
  <c r="K134" i="76" s="1"/>
  <c r="J133" i="76"/>
  <c r="K133" i="76" s="1"/>
  <c r="J132" i="76"/>
  <c r="K132" i="76" s="1"/>
  <c r="J131" i="76"/>
  <c r="K131" i="76" s="1"/>
  <c r="J130" i="76"/>
  <c r="K130" i="76" s="1"/>
  <c r="J129" i="76"/>
  <c r="K129" i="76" s="1"/>
  <c r="J128" i="76"/>
  <c r="K128" i="76" s="1"/>
  <c r="J127" i="76"/>
  <c r="K127" i="76" s="1"/>
  <c r="J119" i="76"/>
  <c r="K119" i="76" s="1"/>
  <c r="J118" i="76"/>
  <c r="K118" i="76" s="1"/>
  <c r="J117" i="76"/>
  <c r="K117" i="76" s="1"/>
  <c r="J116" i="76"/>
  <c r="K116" i="76" s="1"/>
  <c r="J115" i="76"/>
  <c r="K115" i="76" s="1"/>
  <c r="J114" i="76"/>
  <c r="K114" i="76" s="1"/>
  <c r="J113" i="76"/>
  <c r="K113" i="76" s="1"/>
  <c r="J112" i="76"/>
  <c r="K112" i="76" s="1"/>
  <c r="J111" i="76"/>
  <c r="K111" i="76" s="1"/>
  <c r="J110" i="76"/>
  <c r="K110" i="76" s="1"/>
  <c r="J109" i="76"/>
  <c r="K109" i="76" s="1"/>
  <c r="J108" i="76"/>
  <c r="K108" i="76" s="1"/>
  <c r="J107" i="76"/>
  <c r="K107" i="76" s="1"/>
  <c r="J106" i="76"/>
  <c r="K106" i="76" s="1"/>
  <c r="J105" i="76"/>
  <c r="K105" i="76" s="1"/>
  <c r="J104" i="76"/>
  <c r="K104" i="76" s="1"/>
  <c r="J103" i="76"/>
  <c r="K103" i="76" s="1"/>
  <c r="J102" i="76"/>
  <c r="K102" i="76" s="1"/>
  <c r="J101" i="76"/>
  <c r="K101" i="76" s="1"/>
  <c r="J100" i="76"/>
  <c r="K100" i="76" s="1"/>
  <c r="J99" i="76"/>
  <c r="K99" i="76" s="1"/>
  <c r="J98" i="76"/>
  <c r="K98" i="76" s="1"/>
  <c r="J97" i="76"/>
  <c r="K97" i="76" s="1"/>
  <c r="J96" i="76"/>
  <c r="K96" i="76" s="1"/>
  <c r="J95" i="76"/>
  <c r="K95" i="76" s="1"/>
  <c r="J94" i="76"/>
  <c r="K94" i="76" s="1"/>
  <c r="J93" i="76"/>
  <c r="K93" i="76" s="1"/>
  <c r="J92" i="76"/>
  <c r="K92" i="76" s="1"/>
  <c r="J91" i="76"/>
  <c r="K91" i="76" s="1"/>
  <c r="J90" i="76"/>
  <c r="K90" i="76" s="1"/>
  <c r="J89" i="76"/>
  <c r="K89" i="76" s="1"/>
  <c r="J88" i="76"/>
  <c r="K88" i="76" s="1"/>
  <c r="J87" i="76"/>
  <c r="K87" i="76" s="1"/>
  <c r="J86" i="76"/>
  <c r="K86" i="76" s="1"/>
  <c r="J85" i="76"/>
  <c r="K85" i="76" s="1"/>
  <c r="K84" i="76"/>
  <c r="J84" i="76"/>
  <c r="J83" i="76"/>
  <c r="K83" i="76" s="1"/>
  <c r="J82" i="76"/>
  <c r="K82" i="76" s="1"/>
  <c r="J81" i="76"/>
  <c r="K81" i="76" s="1"/>
  <c r="J80" i="76"/>
  <c r="K80" i="76" s="1"/>
  <c r="J79" i="76"/>
  <c r="K79" i="76" s="1"/>
  <c r="J78" i="76"/>
  <c r="K78" i="76" s="1"/>
  <c r="J77" i="76"/>
  <c r="K77" i="76" s="1"/>
  <c r="J76" i="76"/>
  <c r="K76" i="76" s="1"/>
  <c r="J75" i="76"/>
  <c r="K75" i="76" s="1"/>
  <c r="J74" i="76"/>
  <c r="K74" i="76" s="1"/>
  <c r="J64" i="76"/>
  <c r="J66" i="76" s="1"/>
  <c r="G12" i="77" s="1"/>
  <c r="I64" i="76"/>
  <c r="M58" i="76"/>
  <c r="N58" i="76" s="1"/>
  <c r="I58" i="76"/>
  <c r="J58" i="76" s="1"/>
  <c r="M57" i="76"/>
  <c r="N57" i="76" s="1"/>
  <c r="I57" i="76"/>
  <c r="J57" i="76" s="1"/>
  <c r="M56" i="76"/>
  <c r="N56" i="76" s="1"/>
  <c r="I56" i="76"/>
  <c r="J56" i="76" s="1"/>
  <c r="M55" i="76"/>
  <c r="N55" i="76" s="1"/>
  <c r="I55" i="76"/>
  <c r="J55" i="76" s="1"/>
  <c r="M54" i="76"/>
  <c r="N54" i="76" s="1"/>
  <c r="I54" i="76"/>
  <c r="J54" i="76" s="1"/>
  <c r="I53" i="76"/>
  <c r="J53" i="76" s="1"/>
  <c r="I52" i="76"/>
  <c r="J52" i="76" s="1"/>
  <c r="J43" i="76"/>
  <c r="K43" i="76" s="1"/>
  <c r="J42" i="76"/>
  <c r="K42" i="76" s="1"/>
  <c r="J41" i="76"/>
  <c r="K41" i="76" s="1"/>
  <c r="J40" i="76"/>
  <c r="K40" i="76" s="1"/>
  <c r="J39" i="76"/>
  <c r="K39" i="76" s="1"/>
  <c r="K38" i="76"/>
  <c r="J38" i="76"/>
  <c r="J37" i="76"/>
  <c r="K37" i="76" s="1"/>
  <c r="J36" i="76"/>
  <c r="K36" i="76" s="1"/>
  <c r="J35" i="76"/>
  <c r="K35" i="76" s="1"/>
  <c r="J34" i="76"/>
  <c r="K34" i="76" s="1"/>
  <c r="M33" i="76"/>
  <c r="N33" i="76" s="1"/>
  <c r="O33" i="76" s="1"/>
  <c r="J33" i="76"/>
  <c r="K33" i="76" s="1"/>
  <c r="M32" i="76"/>
  <c r="N32" i="76" s="1"/>
  <c r="O32" i="76" s="1"/>
  <c r="J32" i="76"/>
  <c r="K32" i="76" s="1"/>
  <c r="M31" i="76"/>
  <c r="N31" i="76" s="1"/>
  <c r="O31" i="76" s="1"/>
  <c r="J31" i="76"/>
  <c r="K31" i="76" s="1"/>
  <c r="M30" i="76"/>
  <c r="N30" i="76" s="1"/>
  <c r="O30" i="76" s="1"/>
  <c r="J30" i="76"/>
  <c r="K30" i="76" s="1"/>
  <c r="M29" i="76"/>
  <c r="N29" i="76" s="1"/>
  <c r="O29" i="76" s="1"/>
  <c r="J29" i="76"/>
  <c r="K29" i="76" s="1"/>
  <c r="M28" i="76"/>
  <c r="N28" i="76" s="1"/>
  <c r="O28" i="76" s="1"/>
  <c r="J28" i="76"/>
  <c r="K28" i="76" s="1"/>
  <c r="M27" i="76"/>
  <c r="N27" i="76" s="1"/>
  <c r="O27" i="76" s="1"/>
  <c r="J27" i="76"/>
  <c r="K27" i="76" s="1"/>
  <c r="M26" i="76"/>
  <c r="N26" i="76" s="1"/>
  <c r="O26" i="76" s="1"/>
  <c r="J26" i="76"/>
  <c r="K26" i="76" s="1"/>
  <c r="M25" i="76"/>
  <c r="N25" i="76" s="1"/>
  <c r="O25" i="76" s="1"/>
  <c r="J25" i="76"/>
  <c r="K25" i="76" s="1"/>
  <c r="M24" i="76"/>
  <c r="N24" i="76" s="1"/>
  <c r="O24" i="76" s="1"/>
  <c r="J24" i="76"/>
  <c r="K24" i="76" s="1"/>
  <c r="M23" i="76"/>
  <c r="N23" i="76" s="1"/>
  <c r="O23" i="76" s="1"/>
  <c r="J23" i="76"/>
  <c r="K23" i="76" s="1"/>
  <c r="M22" i="76"/>
  <c r="N22" i="76" s="1"/>
  <c r="O22" i="76" s="1"/>
  <c r="J22" i="76"/>
  <c r="K22" i="76" s="1"/>
  <c r="M21" i="76"/>
  <c r="N21" i="76" s="1"/>
  <c r="O21" i="76" s="1"/>
  <c r="J21" i="76"/>
  <c r="K21" i="76" s="1"/>
  <c r="M20" i="76"/>
  <c r="N20" i="76" s="1"/>
  <c r="O20" i="76" s="1"/>
  <c r="J20" i="76"/>
  <c r="K20" i="76" s="1"/>
  <c r="M19" i="76"/>
  <c r="N19" i="76" s="1"/>
  <c r="O19" i="76" s="1"/>
  <c r="J19" i="76"/>
  <c r="K19" i="76" s="1"/>
  <c r="M18" i="76"/>
  <c r="N18" i="76" s="1"/>
  <c r="O18" i="76" s="1"/>
  <c r="J18" i="76"/>
  <c r="K18" i="76" s="1"/>
  <c r="M17" i="76"/>
  <c r="N17" i="76" s="1"/>
  <c r="O17" i="76" s="1"/>
  <c r="J17" i="76"/>
  <c r="K17" i="76" s="1"/>
  <c r="M16" i="76"/>
  <c r="N16" i="76" s="1"/>
  <c r="O16" i="76" s="1"/>
  <c r="J16" i="76"/>
  <c r="K16" i="76" s="1"/>
  <c r="M15" i="76"/>
  <c r="N15" i="76" s="1"/>
  <c r="O15" i="76" s="1"/>
  <c r="J15" i="76"/>
  <c r="K15" i="76" s="1"/>
  <c r="M14" i="76"/>
  <c r="N14" i="76" s="1"/>
  <c r="O14" i="76" s="1"/>
  <c r="J14" i="76"/>
  <c r="K14" i="76" s="1"/>
  <c r="M13" i="76"/>
  <c r="N13" i="76" s="1"/>
  <c r="O13" i="76" s="1"/>
  <c r="J13" i="76"/>
  <c r="K13" i="76" s="1"/>
  <c r="M12" i="76"/>
  <c r="N12" i="76" s="1"/>
  <c r="O12" i="76" s="1"/>
  <c r="J12" i="76"/>
  <c r="K12" i="76" s="1"/>
  <c r="M11" i="76"/>
  <c r="N11" i="76" s="1"/>
  <c r="O11" i="76" s="1"/>
  <c r="J11" i="76"/>
  <c r="K11" i="76" s="1"/>
  <c r="M10" i="76"/>
  <c r="N10" i="76" s="1"/>
  <c r="O10" i="76" s="1"/>
  <c r="J10" i="76"/>
  <c r="K10" i="76" s="1"/>
  <c r="M9" i="76"/>
  <c r="N9" i="76" s="1"/>
  <c r="O9" i="76" s="1"/>
  <c r="J9" i="76"/>
  <c r="K9" i="76" s="1"/>
  <c r="J8" i="76"/>
  <c r="K8" i="76" s="1"/>
  <c r="J7" i="76"/>
  <c r="K7" i="76" s="1"/>
  <c r="J6" i="76"/>
  <c r="K6" i="76" s="1"/>
  <c r="J5" i="76"/>
  <c r="K5" i="76" s="1"/>
  <c r="M4" i="76"/>
  <c r="N4" i="76" s="1"/>
  <c r="O4" i="76" s="1"/>
  <c r="J4" i="76"/>
  <c r="K4" i="76" s="1"/>
  <c r="K217" i="76" l="1"/>
  <c r="G11" i="77" s="1"/>
  <c r="N256" i="76"/>
  <c r="E262" i="76"/>
  <c r="G262" i="76" s="1"/>
  <c r="G265" i="76" s="1"/>
  <c r="K121" i="76"/>
  <c r="G20" i="77" s="1"/>
  <c r="O45" i="76"/>
  <c r="G7" i="77" s="1"/>
  <c r="N60" i="76"/>
  <c r="G9" i="77" s="1"/>
  <c r="K162" i="76"/>
  <c r="G10" i="77" s="1"/>
  <c r="K142" i="76"/>
  <c r="G21" i="77" s="1"/>
  <c r="J60" i="76"/>
  <c r="G8" i="77" s="1"/>
  <c r="K209" i="76"/>
  <c r="G22" i="77" s="1"/>
  <c r="I239" i="76"/>
  <c r="G14" i="77" s="1"/>
  <c r="I25" i="77" l="1"/>
  <c r="G25" i="71" l="1"/>
  <c r="I20" i="73" l="1"/>
  <c r="G20" i="73"/>
  <c r="G37" i="74" l="1"/>
  <c r="G36" i="74"/>
  <c r="G35" i="74"/>
  <c r="F37" i="74"/>
  <c r="G8" i="74"/>
  <c r="D8" i="74"/>
  <c r="G15" i="74"/>
  <c r="D15" i="74"/>
  <c r="D7" i="73"/>
  <c r="G19" i="74"/>
  <c r="D19" i="74"/>
  <c r="G11" i="74"/>
  <c r="D10" i="74"/>
  <c r="H10" i="74" s="1"/>
  <c r="G13" i="74"/>
  <c r="D13" i="74"/>
  <c r="H6" i="74"/>
  <c r="D6" i="74"/>
  <c r="H4" i="74"/>
  <c r="D4" i="74"/>
  <c r="F195" i="72"/>
  <c r="G10" i="73"/>
  <c r="D10" i="73"/>
  <c r="H7" i="73"/>
  <c r="H17" i="73" s="1"/>
  <c r="F185" i="72"/>
  <c r="D15" i="73" s="1"/>
  <c r="G15" i="73"/>
  <c r="G14" i="73"/>
  <c r="D14" i="73"/>
  <c r="F154" i="72"/>
  <c r="F206" i="72"/>
  <c r="G8" i="73"/>
  <c r="D8" i="73"/>
  <c r="G13" i="73"/>
  <c r="D13" i="73"/>
  <c r="F135" i="72"/>
  <c r="G12" i="73"/>
  <c r="D107" i="72"/>
  <c r="D12" i="73" s="1"/>
  <c r="G9" i="73"/>
  <c r="D9" i="73"/>
  <c r="G11" i="73"/>
  <c r="D11" i="73"/>
  <c r="G6" i="73"/>
  <c r="D43" i="72"/>
  <c r="D5" i="73" s="1"/>
  <c r="G5" i="73"/>
  <c r="G4" i="73"/>
  <c r="D4" i="73"/>
  <c r="D27" i="72"/>
  <c r="H28" i="74" l="1"/>
  <c r="G17" i="73"/>
  <c r="I17" i="73" s="1"/>
  <c r="I28" i="74" l="1"/>
  <c r="J192" i="72" l="1"/>
  <c r="K192" i="72" s="1"/>
  <c r="J191" i="72"/>
  <c r="K191" i="72" s="1"/>
  <c r="J190" i="72"/>
  <c r="K190" i="72" s="1"/>
  <c r="K182" i="72"/>
  <c r="J182" i="72"/>
  <c r="K181" i="72"/>
  <c r="J181" i="72"/>
  <c r="K180" i="72"/>
  <c r="J180" i="72"/>
  <c r="K179" i="72"/>
  <c r="J179" i="72"/>
  <c r="K178" i="72"/>
  <c r="J178" i="72"/>
  <c r="K177" i="72"/>
  <c r="J177" i="72"/>
  <c r="K176" i="72"/>
  <c r="J176" i="72"/>
  <c r="K175" i="72"/>
  <c r="J175" i="72"/>
  <c r="K174" i="72"/>
  <c r="J174" i="72"/>
  <c r="K173" i="72"/>
  <c r="J173" i="72"/>
  <c r="K172" i="72"/>
  <c r="J172" i="72"/>
  <c r="K171" i="72"/>
  <c r="J171" i="72"/>
  <c r="K170" i="72"/>
  <c r="J170" i="72"/>
  <c r="K169" i="72"/>
  <c r="K185" i="72" s="1"/>
  <c r="J169" i="72"/>
  <c r="K161" i="72"/>
  <c r="J161" i="72"/>
  <c r="J152" i="72"/>
  <c r="K152" i="72" s="1"/>
  <c r="J151" i="72"/>
  <c r="K151" i="72" s="1"/>
  <c r="J150" i="72"/>
  <c r="K150" i="72" s="1"/>
  <c r="J149" i="72"/>
  <c r="K149" i="72" s="1"/>
  <c r="J148" i="72"/>
  <c r="K148" i="72" s="1"/>
  <c r="J147" i="72"/>
  <c r="K147" i="72" s="1"/>
  <c r="J146" i="72"/>
  <c r="K146" i="72" s="1"/>
  <c r="J145" i="72"/>
  <c r="K145" i="72" s="1"/>
  <c r="J144" i="72"/>
  <c r="K144" i="72" s="1"/>
  <c r="J143" i="72"/>
  <c r="K143" i="72" s="1"/>
  <c r="J142" i="72"/>
  <c r="K142" i="72" s="1"/>
  <c r="J141" i="72"/>
  <c r="K141" i="72" s="1"/>
  <c r="J140" i="72"/>
  <c r="K140" i="72" s="1"/>
  <c r="K133" i="72"/>
  <c r="J133" i="72"/>
  <c r="K132" i="72"/>
  <c r="J132" i="72"/>
  <c r="K131" i="72"/>
  <c r="J131" i="72"/>
  <c r="K130" i="72"/>
  <c r="J130" i="72"/>
  <c r="K129" i="72"/>
  <c r="J129" i="72"/>
  <c r="K128" i="72"/>
  <c r="J128" i="72"/>
  <c r="K127" i="72"/>
  <c r="J127" i="72"/>
  <c r="K126" i="72"/>
  <c r="J126" i="72"/>
  <c r="K125" i="72"/>
  <c r="J125" i="72"/>
  <c r="K124" i="72"/>
  <c r="J124" i="72"/>
  <c r="K123" i="72"/>
  <c r="J123" i="72"/>
  <c r="K122" i="72"/>
  <c r="J122" i="72"/>
  <c r="K121" i="72"/>
  <c r="J121" i="72"/>
  <c r="K120" i="72"/>
  <c r="J120" i="72"/>
  <c r="K119" i="72"/>
  <c r="J119" i="72"/>
  <c r="K118" i="72"/>
  <c r="J118" i="72"/>
  <c r="K117" i="72"/>
  <c r="J117" i="72"/>
  <c r="K116" i="72"/>
  <c r="K135" i="72" s="1"/>
  <c r="J116" i="72"/>
  <c r="J104" i="72"/>
  <c r="K104" i="72" s="1"/>
  <c r="J103" i="72"/>
  <c r="K103" i="72" s="1"/>
  <c r="J102" i="72"/>
  <c r="K102" i="72" s="1"/>
  <c r="J101" i="72"/>
  <c r="K101" i="72" s="1"/>
  <c r="J100" i="72"/>
  <c r="K100" i="72" s="1"/>
  <c r="J99" i="72"/>
  <c r="K99" i="72" s="1"/>
  <c r="J98" i="72"/>
  <c r="K98" i="72" s="1"/>
  <c r="J97" i="72"/>
  <c r="K97" i="72" s="1"/>
  <c r="J96" i="72"/>
  <c r="K96" i="72" s="1"/>
  <c r="J95" i="72"/>
  <c r="K95" i="72" s="1"/>
  <c r="J94" i="72"/>
  <c r="K94" i="72" s="1"/>
  <c r="J93" i="72"/>
  <c r="K93" i="72" s="1"/>
  <c r="J92" i="72"/>
  <c r="K92" i="72" s="1"/>
  <c r="J91" i="72"/>
  <c r="K91" i="72" s="1"/>
  <c r="J90" i="72"/>
  <c r="K90" i="72" s="1"/>
  <c r="J89" i="72"/>
  <c r="K89" i="72" s="1"/>
  <c r="J88" i="72"/>
  <c r="K88" i="72" s="1"/>
  <c r="J87" i="72"/>
  <c r="K87" i="72" s="1"/>
  <c r="J86" i="72"/>
  <c r="K86" i="72" s="1"/>
  <c r="J85" i="72"/>
  <c r="K85" i="72" s="1"/>
  <c r="J84" i="72"/>
  <c r="K84" i="72" s="1"/>
  <c r="J83" i="72"/>
  <c r="K83" i="72" s="1"/>
  <c r="J82" i="72"/>
  <c r="K82" i="72" s="1"/>
  <c r="J81" i="72"/>
  <c r="K81" i="72" s="1"/>
  <c r="J80" i="72"/>
  <c r="K80" i="72" s="1"/>
  <c r="J79" i="72"/>
  <c r="K79" i="72" s="1"/>
  <c r="J78" i="72"/>
  <c r="K78" i="72" s="1"/>
  <c r="J77" i="72"/>
  <c r="K77" i="72" s="1"/>
  <c r="J76" i="72"/>
  <c r="K76" i="72" s="1"/>
  <c r="J75" i="72"/>
  <c r="K75" i="72" s="1"/>
  <c r="J74" i="72"/>
  <c r="K74" i="72" s="1"/>
  <c r="J73" i="72"/>
  <c r="K73" i="72" s="1"/>
  <c r="J72" i="72"/>
  <c r="K72" i="72" s="1"/>
  <c r="J71" i="72"/>
  <c r="K71" i="72" s="1"/>
  <c r="J70" i="72"/>
  <c r="K70" i="72" s="1"/>
  <c r="J69" i="72"/>
  <c r="K69" i="72" s="1"/>
  <c r="K57" i="72"/>
  <c r="K60" i="72" s="1"/>
  <c r="J57" i="72"/>
  <c r="M49" i="72"/>
  <c r="N49" i="72" s="1"/>
  <c r="I49" i="72"/>
  <c r="J49" i="72" s="1"/>
  <c r="N43" i="72"/>
  <c r="N41" i="72"/>
  <c r="M41" i="72"/>
  <c r="J41" i="72"/>
  <c r="I41" i="72"/>
  <c r="N40" i="72"/>
  <c r="M40" i="72"/>
  <c r="J40" i="72"/>
  <c r="I40" i="72"/>
  <c r="J39" i="72"/>
  <c r="I39" i="72"/>
  <c r="J38" i="72"/>
  <c r="I38" i="72"/>
  <c r="J37" i="72"/>
  <c r="J43" i="72" s="1"/>
  <c r="K45" i="72" s="1"/>
  <c r="I37" i="72"/>
  <c r="N26" i="72"/>
  <c r="O26" i="72" s="1"/>
  <c r="M26" i="72"/>
  <c r="K26" i="72"/>
  <c r="J26" i="72"/>
  <c r="M25" i="72"/>
  <c r="N25" i="72" s="1"/>
  <c r="O25" i="72" s="1"/>
  <c r="J25" i="72"/>
  <c r="K25" i="72" s="1"/>
  <c r="N24" i="72"/>
  <c r="O24" i="72" s="1"/>
  <c r="M24" i="72"/>
  <c r="K24" i="72"/>
  <c r="J24" i="72"/>
  <c r="M23" i="72"/>
  <c r="N23" i="72" s="1"/>
  <c r="O23" i="72" s="1"/>
  <c r="J23" i="72"/>
  <c r="K23" i="72" s="1"/>
  <c r="N22" i="72"/>
  <c r="O22" i="72" s="1"/>
  <c r="M22" i="72"/>
  <c r="K22" i="72"/>
  <c r="J22" i="72"/>
  <c r="M21" i="72"/>
  <c r="N21" i="72" s="1"/>
  <c r="O21" i="72" s="1"/>
  <c r="J21" i="72"/>
  <c r="K21" i="72" s="1"/>
  <c r="N20" i="72"/>
  <c r="O20" i="72" s="1"/>
  <c r="M20" i="72"/>
  <c r="K20" i="72"/>
  <c r="J20" i="72"/>
  <c r="M19" i="72"/>
  <c r="N19" i="72" s="1"/>
  <c r="O19" i="72" s="1"/>
  <c r="J19" i="72"/>
  <c r="K19" i="72" s="1"/>
  <c r="N18" i="72"/>
  <c r="O18" i="72" s="1"/>
  <c r="M18" i="72"/>
  <c r="K18" i="72"/>
  <c r="J18" i="72"/>
  <c r="M17" i="72"/>
  <c r="N17" i="72" s="1"/>
  <c r="O17" i="72" s="1"/>
  <c r="J17" i="72"/>
  <c r="K17" i="72" s="1"/>
  <c r="N16" i="72"/>
  <c r="O16" i="72" s="1"/>
  <c r="M16" i="72"/>
  <c r="K16" i="72"/>
  <c r="J16" i="72"/>
  <c r="M15" i="72"/>
  <c r="N15" i="72" s="1"/>
  <c r="O15" i="72" s="1"/>
  <c r="J15" i="72"/>
  <c r="K15" i="72" s="1"/>
  <c r="N14" i="72"/>
  <c r="O14" i="72" s="1"/>
  <c r="M14" i="72"/>
  <c r="K14" i="72"/>
  <c r="J14" i="72"/>
  <c r="M13" i="72"/>
  <c r="N13" i="72" s="1"/>
  <c r="O13" i="72" s="1"/>
  <c r="J13" i="72"/>
  <c r="K13" i="72" s="1"/>
  <c r="N12" i="72"/>
  <c r="O12" i="72" s="1"/>
  <c r="M12" i="72"/>
  <c r="K12" i="72"/>
  <c r="J12" i="72"/>
  <c r="M11" i="72"/>
  <c r="N11" i="72" s="1"/>
  <c r="O11" i="72" s="1"/>
  <c r="J11" i="72"/>
  <c r="K11" i="72" s="1"/>
  <c r="N10" i="72"/>
  <c r="O10" i="72" s="1"/>
  <c r="M10" i="72"/>
  <c r="K10" i="72"/>
  <c r="J10" i="72"/>
  <c r="M9" i="72"/>
  <c r="N9" i="72" s="1"/>
  <c r="O9" i="72" s="1"/>
  <c r="J9" i="72"/>
  <c r="K9" i="72" s="1"/>
  <c r="N8" i="72"/>
  <c r="O8" i="72" s="1"/>
  <c r="M8" i="72"/>
  <c r="K8" i="72"/>
  <c r="J8" i="72"/>
  <c r="M7" i="72"/>
  <c r="N7" i="72" s="1"/>
  <c r="O7" i="72" s="1"/>
  <c r="J7" i="72"/>
  <c r="K7" i="72" s="1"/>
  <c r="N6" i="72"/>
  <c r="O6" i="72" s="1"/>
  <c r="M6" i="72"/>
  <c r="K6" i="72"/>
  <c r="J6" i="72"/>
  <c r="M5" i="72"/>
  <c r="N5" i="72" s="1"/>
  <c r="O5" i="72" s="1"/>
  <c r="J5" i="72"/>
  <c r="K5" i="72" s="1"/>
  <c r="K195" i="72" l="1"/>
  <c r="O28" i="72"/>
  <c r="K52" i="72"/>
  <c r="K107" i="72"/>
  <c r="K154" i="72"/>
  <c r="H22" i="71" l="1"/>
  <c r="G22" i="71"/>
  <c r="G21" i="71"/>
  <c r="H20" i="71" l="1"/>
  <c r="G20" i="71"/>
  <c r="G18" i="71"/>
  <c r="D18" i="71"/>
  <c r="G17" i="71"/>
  <c r="D17" i="71"/>
  <c r="F141" i="70"/>
  <c r="F158" i="70"/>
  <c r="J156" i="70"/>
  <c r="K156" i="70" s="1"/>
  <c r="J155" i="70"/>
  <c r="K155" i="70" s="1"/>
  <c r="J154" i="70"/>
  <c r="K154" i="70" s="1"/>
  <c r="J153" i="70"/>
  <c r="K153" i="70" s="1"/>
  <c r="J152" i="70"/>
  <c r="K152" i="70" s="1"/>
  <c r="K151" i="70"/>
  <c r="J151" i="70"/>
  <c r="J150" i="70"/>
  <c r="K150" i="70" s="1"/>
  <c r="J149" i="70"/>
  <c r="K149" i="70" s="1"/>
  <c r="J148" i="70"/>
  <c r="K148" i="70" s="1"/>
  <c r="J147" i="70"/>
  <c r="K147" i="70" s="1"/>
  <c r="J146" i="70"/>
  <c r="K146" i="70" s="1"/>
  <c r="K140" i="70"/>
  <c r="J140" i="70"/>
  <c r="J139" i="70"/>
  <c r="K139" i="70" s="1"/>
  <c r="K138" i="70"/>
  <c r="J138" i="70"/>
  <c r="J137" i="70"/>
  <c r="K137" i="70" s="1"/>
  <c r="J136" i="70"/>
  <c r="K136" i="70" s="1"/>
  <c r="K158" i="70" l="1"/>
  <c r="K141" i="70"/>
  <c r="D16" i="71" l="1"/>
  <c r="F131" i="70"/>
  <c r="G16" i="71"/>
  <c r="G15" i="71"/>
  <c r="D15" i="71"/>
  <c r="F119" i="70"/>
  <c r="G14" i="71"/>
  <c r="D14" i="71"/>
  <c r="D12" i="71"/>
  <c r="D11" i="71"/>
  <c r="H11" i="71" s="1"/>
  <c r="F93" i="70"/>
  <c r="D10" i="71" s="1"/>
  <c r="D78" i="70"/>
  <c r="D9" i="71" s="1"/>
  <c r="D77" i="70"/>
  <c r="D8" i="71" s="1"/>
  <c r="D53" i="70"/>
  <c r="D6" i="71" s="1"/>
  <c r="P20" i="70"/>
  <c r="D33" i="70"/>
  <c r="D5" i="71" s="1"/>
  <c r="D32" i="70"/>
  <c r="D4" i="71" s="1"/>
  <c r="G13" i="71"/>
  <c r="D13" i="71"/>
  <c r="D7" i="71"/>
  <c r="C183" i="70"/>
  <c r="B174" i="70"/>
  <c r="G173" i="70"/>
  <c r="J173" i="70" s="1"/>
  <c r="E173" i="70"/>
  <c r="D172" i="70"/>
  <c r="E172" i="70" s="1"/>
  <c r="G172" i="70" s="1"/>
  <c r="J172" i="70" s="1"/>
  <c r="C137" i="65"/>
  <c r="C136" i="65"/>
  <c r="G174" i="70" l="1"/>
  <c r="G176" i="70" s="1"/>
  <c r="J174" i="70"/>
  <c r="J129" i="70"/>
  <c r="K129" i="70" s="1"/>
  <c r="J128" i="70"/>
  <c r="K128" i="70" s="1"/>
  <c r="J127" i="70"/>
  <c r="K127" i="70" s="1"/>
  <c r="J126" i="70"/>
  <c r="K126" i="70" s="1"/>
  <c r="J125" i="70"/>
  <c r="K125" i="70" s="1"/>
  <c r="J124" i="70"/>
  <c r="K124" i="70" s="1"/>
  <c r="J117" i="70"/>
  <c r="K117" i="70" s="1"/>
  <c r="J116" i="70"/>
  <c r="K116" i="70" s="1"/>
  <c r="J115" i="70"/>
  <c r="K115" i="70" s="1"/>
  <c r="J114" i="70"/>
  <c r="K114" i="70" s="1"/>
  <c r="J113" i="70"/>
  <c r="K113" i="70" s="1"/>
  <c r="J112" i="70"/>
  <c r="K112" i="70" s="1"/>
  <c r="J111" i="70"/>
  <c r="K111" i="70" s="1"/>
  <c r="J110" i="70"/>
  <c r="K110" i="70" s="1"/>
  <c r="J109" i="70"/>
  <c r="K109" i="70" s="1"/>
  <c r="J108" i="70"/>
  <c r="K108" i="70" s="1"/>
  <c r="J107" i="70"/>
  <c r="K107" i="70" s="1"/>
  <c r="J106" i="70"/>
  <c r="K106" i="70" s="1"/>
  <c r="J105" i="70"/>
  <c r="K105" i="70" s="1"/>
  <c r="K131" i="70" l="1"/>
  <c r="K119" i="70"/>
  <c r="I96" i="70" l="1"/>
  <c r="J96" i="70" s="1"/>
  <c r="J98" i="70" s="1"/>
  <c r="G12" i="71" s="1"/>
  <c r="J91" i="70"/>
  <c r="K91" i="70" s="1"/>
  <c r="J90" i="70"/>
  <c r="K90" i="70" s="1"/>
  <c r="J89" i="70"/>
  <c r="K89" i="70" s="1"/>
  <c r="J88" i="70"/>
  <c r="K88" i="70" s="1"/>
  <c r="K93" i="70" l="1"/>
  <c r="G10" i="71" s="1"/>
  <c r="I75" i="70" l="1"/>
  <c r="J75" i="70" s="1"/>
  <c r="M75" i="70"/>
  <c r="N75" i="70" s="1"/>
  <c r="M74" i="70"/>
  <c r="N74" i="70" s="1"/>
  <c r="I74" i="70"/>
  <c r="J74" i="70" s="1"/>
  <c r="M73" i="70"/>
  <c r="N73" i="70" s="1"/>
  <c r="I73" i="70"/>
  <c r="J73" i="70" s="1"/>
  <c r="M72" i="70"/>
  <c r="N72" i="70" s="1"/>
  <c r="I72" i="70"/>
  <c r="J72" i="70" s="1"/>
  <c r="I71" i="70"/>
  <c r="J71" i="70" s="1"/>
  <c r="I70" i="70"/>
  <c r="J70" i="70" s="1"/>
  <c r="N77" i="70" l="1"/>
  <c r="G9" i="71" s="1"/>
  <c r="J77" i="70"/>
  <c r="G8" i="71" s="1"/>
  <c r="J50" i="70" l="1"/>
  <c r="K50" i="70" s="1"/>
  <c r="J49" i="70"/>
  <c r="K49" i="70" s="1"/>
  <c r="J48" i="70"/>
  <c r="K48" i="70" s="1"/>
  <c r="J47" i="70"/>
  <c r="K47" i="70" s="1"/>
  <c r="J46" i="70"/>
  <c r="K46" i="70" s="1"/>
  <c r="J45" i="70"/>
  <c r="K45" i="70" s="1"/>
  <c r="J44" i="70"/>
  <c r="K44" i="70" s="1"/>
  <c r="J43" i="70"/>
  <c r="K43" i="70" s="1"/>
  <c r="J42" i="70"/>
  <c r="K42" i="70" s="1"/>
  <c r="J41" i="70"/>
  <c r="K41" i="70" s="1"/>
  <c r="J40" i="70"/>
  <c r="K40" i="70" s="1"/>
  <c r="J39" i="70"/>
  <c r="K39" i="70" s="1"/>
  <c r="J38" i="70"/>
  <c r="K38" i="70" s="1"/>
  <c r="K53" i="70" l="1"/>
  <c r="H6" i="71" s="1"/>
  <c r="M31" i="70"/>
  <c r="N31" i="70" s="1"/>
  <c r="O31" i="70" s="1"/>
  <c r="J31" i="70"/>
  <c r="K31" i="70" s="1"/>
  <c r="M30" i="70"/>
  <c r="N30" i="70" s="1"/>
  <c r="O30" i="70" s="1"/>
  <c r="J30" i="70"/>
  <c r="K30" i="70" s="1"/>
  <c r="M29" i="70"/>
  <c r="N29" i="70" s="1"/>
  <c r="O29" i="70" s="1"/>
  <c r="J29" i="70"/>
  <c r="K29" i="70" s="1"/>
  <c r="M28" i="70"/>
  <c r="N28" i="70" s="1"/>
  <c r="O28" i="70" s="1"/>
  <c r="J28" i="70"/>
  <c r="K28" i="70" s="1"/>
  <c r="M27" i="70"/>
  <c r="N27" i="70" s="1"/>
  <c r="O27" i="70" s="1"/>
  <c r="J27" i="70"/>
  <c r="K27" i="70" s="1"/>
  <c r="M26" i="70"/>
  <c r="N26" i="70" s="1"/>
  <c r="O26" i="70" s="1"/>
  <c r="J26" i="70"/>
  <c r="K26" i="70" s="1"/>
  <c r="M25" i="70"/>
  <c r="N25" i="70" s="1"/>
  <c r="O25" i="70" s="1"/>
  <c r="J25" i="70"/>
  <c r="K25" i="70" s="1"/>
  <c r="M24" i="70"/>
  <c r="N24" i="70" s="1"/>
  <c r="O24" i="70" s="1"/>
  <c r="J24" i="70"/>
  <c r="K24" i="70" s="1"/>
  <c r="J19" i="70"/>
  <c r="K19" i="70" s="1"/>
  <c r="J18" i="70"/>
  <c r="K18" i="70" s="1"/>
  <c r="J17" i="70"/>
  <c r="K17" i="70" s="1"/>
  <c r="J16" i="70"/>
  <c r="K16" i="70" s="1"/>
  <c r="J15" i="70"/>
  <c r="K15" i="70" s="1"/>
  <c r="M23" i="70"/>
  <c r="N23" i="70" s="1"/>
  <c r="O23" i="70" s="1"/>
  <c r="J23" i="70"/>
  <c r="K23" i="70" s="1"/>
  <c r="M22" i="70"/>
  <c r="N22" i="70" s="1"/>
  <c r="O22" i="70" s="1"/>
  <c r="J22" i="70"/>
  <c r="K22" i="70" s="1"/>
  <c r="M21" i="70"/>
  <c r="N21" i="70" s="1"/>
  <c r="O21" i="70" s="1"/>
  <c r="J21" i="70"/>
  <c r="K21" i="70" s="1"/>
  <c r="M20" i="70"/>
  <c r="N20" i="70" s="1"/>
  <c r="O20" i="70" s="1"/>
  <c r="J20" i="70"/>
  <c r="K20" i="70" s="1"/>
  <c r="J14" i="70"/>
  <c r="K14" i="70" s="1"/>
  <c r="J13" i="70"/>
  <c r="K13" i="70" s="1"/>
  <c r="J12" i="70"/>
  <c r="K12" i="70" s="1"/>
  <c r="J11" i="70"/>
  <c r="K11" i="70" s="1"/>
  <c r="J10" i="70"/>
  <c r="K10" i="70" s="1"/>
  <c r="J9" i="70"/>
  <c r="K9" i="70" s="1"/>
  <c r="J8" i="70"/>
  <c r="K8" i="70" s="1"/>
  <c r="J7" i="70"/>
  <c r="K7" i="70" s="1"/>
  <c r="J6" i="70"/>
  <c r="K6" i="70" s="1"/>
  <c r="D64" i="70"/>
  <c r="H62" i="70"/>
  <c r="I62" i="70" s="1"/>
  <c r="J62" i="70" s="1"/>
  <c r="H60" i="70"/>
  <c r="I60" i="70" s="1"/>
  <c r="J60" i="70" s="1"/>
  <c r="H58" i="70"/>
  <c r="I58" i="70" s="1"/>
  <c r="J58" i="70" s="1"/>
  <c r="O33" i="70" l="1"/>
  <c r="G5" i="71" s="1"/>
  <c r="K33" i="70"/>
  <c r="H4" i="71" s="1"/>
  <c r="J64" i="70"/>
  <c r="G7" i="71" s="1"/>
  <c r="G15" i="64"/>
  <c r="G18" i="64"/>
  <c r="G17" i="69"/>
  <c r="G19" i="69"/>
  <c r="D19" i="69"/>
  <c r="I20" i="71" l="1"/>
  <c r="F20" i="64"/>
  <c r="F22" i="69"/>
  <c r="D11" i="69"/>
  <c r="H13" i="69"/>
  <c r="E24" i="69"/>
  <c r="D20" i="69"/>
  <c r="G20" i="69" s="1"/>
  <c r="G15" i="69"/>
  <c r="D15" i="69"/>
  <c r="G14" i="69"/>
  <c r="D14" i="69"/>
  <c r="G10" i="69"/>
  <c r="D10" i="69"/>
  <c r="G9" i="69"/>
  <c r="D9" i="69"/>
  <c r="G8" i="69"/>
  <c r="D8" i="69"/>
  <c r="G7" i="69"/>
  <c r="D7" i="69"/>
  <c r="H6" i="69"/>
  <c r="D6" i="69"/>
  <c r="G5" i="69"/>
  <c r="D5" i="69"/>
  <c r="H4" i="69"/>
  <c r="D4" i="69"/>
  <c r="D13" i="69"/>
  <c r="G12" i="69"/>
  <c r="D12" i="69"/>
  <c r="D40" i="69"/>
  <c r="F39" i="69"/>
  <c r="F40" i="69" s="1"/>
  <c r="D36" i="69"/>
  <c r="E30" i="69"/>
  <c r="D29" i="69"/>
  <c r="G18" i="69"/>
  <c r="D18" i="69"/>
  <c r="H18" i="69" s="1"/>
  <c r="G16" i="69"/>
  <c r="D16" i="69"/>
  <c r="G11" i="69"/>
  <c r="D131" i="67"/>
  <c r="D13" i="68" s="1"/>
  <c r="H14" i="68"/>
  <c r="G14" i="68"/>
  <c r="G13" i="68"/>
  <c r="D121" i="67"/>
  <c r="D12" i="68" s="1"/>
  <c r="G12" i="68"/>
  <c r="G11" i="68"/>
  <c r="D11" i="68"/>
  <c r="G10" i="68"/>
  <c r="D10" i="68"/>
  <c r="D114" i="67"/>
  <c r="G9" i="68"/>
  <c r="G8" i="68"/>
  <c r="D9" i="68"/>
  <c r="D8" i="68"/>
  <c r="E101" i="67"/>
  <c r="D101" i="67"/>
  <c r="G7" i="68"/>
  <c r="D7" i="68"/>
  <c r="D82" i="67"/>
  <c r="H6" i="68"/>
  <c r="D72" i="67"/>
  <c r="D6" i="68" s="1"/>
  <c r="G5" i="68"/>
  <c r="D5" i="68"/>
  <c r="H4" i="68"/>
  <c r="F48" i="67"/>
  <c r="D4" i="68"/>
  <c r="D48" i="67"/>
  <c r="F36" i="69" l="1"/>
  <c r="D28" i="69"/>
  <c r="G21" i="69"/>
  <c r="H21" i="69"/>
  <c r="I14" i="68"/>
  <c r="H2" i="67"/>
  <c r="I21" i="69" l="1"/>
  <c r="G147" i="67"/>
  <c r="F144" i="67"/>
  <c r="B146" i="67"/>
  <c r="C146" i="67" s="1"/>
  <c r="D146" i="67" s="1"/>
  <c r="E146" i="67" s="1"/>
  <c r="D144" i="67"/>
  <c r="I129" i="67" l="1"/>
  <c r="J129" i="67" s="1"/>
  <c r="I128" i="67"/>
  <c r="J128" i="67" s="1"/>
  <c r="I127" i="67"/>
  <c r="J127" i="67" s="1"/>
  <c r="I126" i="67"/>
  <c r="J126" i="67" s="1"/>
  <c r="I125" i="67"/>
  <c r="J125" i="67" s="1"/>
  <c r="I124" i="67"/>
  <c r="J124" i="67" s="1"/>
  <c r="J131" i="67" l="1"/>
  <c r="I119" i="67" l="1"/>
  <c r="J119" i="67" s="1"/>
  <c r="I117" i="67"/>
  <c r="J117" i="67" s="1"/>
  <c r="J112" i="67"/>
  <c r="K112" i="67" s="1"/>
  <c r="J111" i="67"/>
  <c r="K111" i="67" s="1"/>
  <c r="J109" i="67"/>
  <c r="K109" i="67" s="1"/>
  <c r="J108" i="67"/>
  <c r="K108" i="67" s="1"/>
  <c r="J106" i="67"/>
  <c r="K106" i="67" s="1"/>
  <c r="J105" i="67"/>
  <c r="K105" i="67" s="1"/>
  <c r="J121" i="67" l="1"/>
  <c r="K114" i="67"/>
  <c r="M99" i="67" l="1"/>
  <c r="N99" i="67" s="1"/>
  <c r="I99" i="67"/>
  <c r="J99" i="67" s="1"/>
  <c r="M98" i="67"/>
  <c r="N98" i="67" s="1"/>
  <c r="I98" i="67"/>
  <c r="J98" i="67" s="1"/>
  <c r="M97" i="67"/>
  <c r="N97" i="67" s="1"/>
  <c r="I97" i="67"/>
  <c r="J97" i="67" s="1"/>
  <c r="M95" i="67"/>
  <c r="N95" i="67" s="1"/>
  <c r="I95" i="67"/>
  <c r="J95" i="67" s="1"/>
  <c r="M94" i="67"/>
  <c r="N94" i="67" s="1"/>
  <c r="I94" i="67"/>
  <c r="J94" i="67" s="1"/>
  <c r="M93" i="67"/>
  <c r="N93" i="67" s="1"/>
  <c r="I93" i="67"/>
  <c r="J93" i="67" s="1"/>
  <c r="M91" i="67"/>
  <c r="N91" i="67" s="1"/>
  <c r="I91" i="67"/>
  <c r="J91" i="67" s="1"/>
  <c r="N101" i="67" l="1"/>
  <c r="I89" i="67"/>
  <c r="J89" i="67" s="1"/>
  <c r="I88" i="67"/>
  <c r="J88" i="67" s="1"/>
  <c r="H78" i="67"/>
  <c r="I78" i="67" s="1"/>
  <c r="J78" i="67" s="1"/>
  <c r="H76" i="67"/>
  <c r="I76" i="67" s="1"/>
  <c r="J76" i="67" s="1"/>
  <c r="H80" i="67"/>
  <c r="I80" i="67" s="1"/>
  <c r="J80" i="67" s="1"/>
  <c r="J64" i="67"/>
  <c r="K64" i="67" s="1"/>
  <c r="J63" i="67"/>
  <c r="K63" i="67" s="1"/>
  <c r="J61" i="67"/>
  <c r="K61" i="67" s="1"/>
  <c r="J60" i="67"/>
  <c r="K60" i="67" s="1"/>
  <c r="J59" i="67"/>
  <c r="K59" i="67" s="1"/>
  <c r="J58" i="67"/>
  <c r="K58" i="67" s="1"/>
  <c r="J57" i="67"/>
  <c r="K57" i="67" s="1"/>
  <c r="J56" i="67"/>
  <c r="K56" i="67" s="1"/>
  <c r="J54" i="67"/>
  <c r="K54" i="67" s="1"/>
  <c r="J53" i="67"/>
  <c r="K53" i="67" s="1"/>
  <c r="J52" i="67"/>
  <c r="K52" i="67" s="1"/>
  <c r="K72" i="67" l="1"/>
  <c r="J101" i="67"/>
  <c r="J82" i="67"/>
  <c r="M46" i="67"/>
  <c r="N46" i="67" s="1"/>
  <c r="O46" i="67" s="1"/>
  <c r="J46" i="67"/>
  <c r="K46" i="67" s="1"/>
  <c r="M45" i="67"/>
  <c r="N45" i="67" s="1"/>
  <c r="O45" i="67" s="1"/>
  <c r="J45" i="67"/>
  <c r="K45" i="67" s="1"/>
  <c r="M43" i="67"/>
  <c r="N43" i="67" s="1"/>
  <c r="O43" i="67" s="1"/>
  <c r="J43" i="67"/>
  <c r="K43" i="67" s="1"/>
  <c r="M42" i="67"/>
  <c r="N42" i="67" s="1"/>
  <c r="O42" i="67" s="1"/>
  <c r="J42" i="67"/>
  <c r="K42" i="67" s="1"/>
  <c r="M40" i="67"/>
  <c r="N40" i="67" s="1"/>
  <c r="O40" i="67" s="1"/>
  <c r="J40" i="67"/>
  <c r="K40" i="67" s="1"/>
  <c r="M39" i="67"/>
  <c r="N39" i="67" s="1"/>
  <c r="O39" i="67" s="1"/>
  <c r="J39" i="67"/>
  <c r="K39" i="67" s="1"/>
  <c r="M38" i="67"/>
  <c r="N38" i="67" s="1"/>
  <c r="O38" i="67" s="1"/>
  <c r="J38" i="67"/>
  <c r="K38" i="67" s="1"/>
  <c r="M37" i="67"/>
  <c r="N37" i="67" s="1"/>
  <c r="O37" i="67" s="1"/>
  <c r="J37" i="67"/>
  <c r="K37" i="67" s="1"/>
  <c r="M36" i="67"/>
  <c r="N36" i="67" s="1"/>
  <c r="O36" i="67" s="1"/>
  <c r="J36" i="67"/>
  <c r="K36" i="67" s="1"/>
  <c r="M35" i="67"/>
  <c r="N35" i="67" s="1"/>
  <c r="O35" i="67" s="1"/>
  <c r="J35" i="67"/>
  <c r="K35" i="67" s="1"/>
  <c r="M34" i="67"/>
  <c r="N34" i="67" s="1"/>
  <c r="O34" i="67" s="1"/>
  <c r="J34" i="67"/>
  <c r="K34" i="67" s="1"/>
  <c r="M33" i="67"/>
  <c r="N33" i="67" s="1"/>
  <c r="O33" i="67" s="1"/>
  <c r="J33" i="67"/>
  <c r="K33" i="67" s="1"/>
  <c r="M32" i="67"/>
  <c r="N32" i="67" s="1"/>
  <c r="O32" i="67" s="1"/>
  <c r="J32" i="67"/>
  <c r="K32" i="67" s="1"/>
  <c r="J30" i="67"/>
  <c r="K30" i="67" s="1"/>
  <c r="M28" i="67"/>
  <c r="N28" i="67" s="1"/>
  <c r="O28" i="67" s="1"/>
  <c r="J28" i="67"/>
  <c r="K28" i="67" s="1"/>
  <c r="J26" i="67"/>
  <c r="K26" i="67" s="1"/>
  <c r="M24" i="67"/>
  <c r="N24" i="67" s="1"/>
  <c r="O24" i="67" s="1"/>
  <c r="J24" i="67"/>
  <c r="K24" i="67" s="1"/>
  <c r="M23" i="67"/>
  <c r="N23" i="67" s="1"/>
  <c r="O23" i="67" s="1"/>
  <c r="J23" i="67"/>
  <c r="K23" i="67" s="1"/>
  <c r="M22" i="67"/>
  <c r="N22" i="67" s="1"/>
  <c r="O22" i="67" s="1"/>
  <c r="J22" i="67"/>
  <c r="K22" i="67" s="1"/>
  <c r="M21" i="67"/>
  <c r="N21" i="67" s="1"/>
  <c r="O21" i="67" s="1"/>
  <c r="J21" i="67"/>
  <c r="K21" i="67" s="1"/>
  <c r="M19" i="67"/>
  <c r="N19" i="67" s="1"/>
  <c r="O19" i="67" s="1"/>
  <c r="J19" i="67"/>
  <c r="K19" i="67" s="1"/>
  <c r="M18" i="67"/>
  <c r="N18" i="67" s="1"/>
  <c r="O18" i="67" s="1"/>
  <c r="J18" i="67"/>
  <c r="K18" i="67" s="1"/>
  <c r="J16" i="67"/>
  <c r="K16" i="67" s="1"/>
  <c r="J15" i="67"/>
  <c r="K15" i="67" s="1"/>
  <c r="J14" i="67"/>
  <c r="K14" i="67" s="1"/>
  <c r="J13" i="67"/>
  <c r="K13" i="67" s="1"/>
  <c r="J12" i="67"/>
  <c r="K12" i="67" s="1"/>
  <c r="J10" i="67"/>
  <c r="K10" i="67" s="1"/>
  <c r="J9" i="67"/>
  <c r="K9" i="67" s="1"/>
  <c r="J7" i="67"/>
  <c r="K7" i="67" s="1"/>
  <c r="J6" i="67"/>
  <c r="K6" i="67" s="1"/>
  <c r="K48" i="67" l="1"/>
  <c r="O48" i="67"/>
  <c r="G131" i="65"/>
  <c r="H15" i="66" l="1"/>
  <c r="G15" i="66"/>
  <c r="D98" i="65"/>
  <c r="D14" i="66" s="1"/>
  <c r="D90" i="65"/>
  <c r="D12" i="66" s="1"/>
  <c r="H11" i="66"/>
  <c r="D10" i="66"/>
  <c r="J101" i="65"/>
  <c r="B129" i="65"/>
  <c r="G128" i="65"/>
  <c r="J128" i="65" s="1"/>
  <c r="E128" i="65"/>
  <c r="I127" i="65"/>
  <c r="D127" i="65"/>
  <c r="E127" i="65" s="1"/>
  <c r="G127" i="65" s="1"/>
  <c r="C120" i="65"/>
  <c r="C123" i="65" s="1"/>
  <c r="D123" i="65" s="1"/>
  <c r="E123" i="65" s="1"/>
  <c r="F123" i="65" s="1"/>
  <c r="I117" i="65"/>
  <c r="H116" i="65"/>
  <c r="C111" i="65"/>
  <c r="D111" i="65" s="1"/>
  <c r="F111" i="65" s="1"/>
  <c r="C71" i="65"/>
  <c r="D9" i="66" s="1"/>
  <c r="D71" i="65"/>
  <c r="D8" i="66" s="1"/>
  <c r="D53" i="65"/>
  <c r="D7" i="66" s="1"/>
  <c r="D45" i="65"/>
  <c r="D6" i="66" s="1"/>
  <c r="D29" i="65"/>
  <c r="D4" i="66" s="1"/>
  <c r="G21" i="65"/>
  <c r="D5" i="66" s="1"/>
  <c r="D13" i="66" l="1"/>
  <c r="D11" i="66"/>
  <c r="J127" i="65"/>
  <c r="J129" i="65" s="1"/>
  <c r="G10" i="66" s="1"/>
  <c r="G129" i="65"/>
  <c r="D120" i="65"/>
  <c r="D103" i="65"/>
  <c r="F103" i="65" s="1"/>
  <c r="G103" i="65" s="1"/>
  <c r="I96" i="65"/>
  <c r="J96" i="65" s="1"/>
  <c r="I95" i="65"/>
  <c r="J95" i="65" s="1"/>
  <c r="I94" i="65"/>
  <c r="J94" i="65" s="1"/>
  <c r="I93" i="65"/>
  <c r="J93" i="65" s="1"/>
  <c r="J98" i="65" s="1"/>
  <c r="G14" i="66" s="1"/>
  <c r="J88" i="65"/>
  <c r="K88" i="65" s="1"/>
  <c r="J87" i="65"/>
  <c r="K87" i="65" s="1"/>
  <c r="J86" i="65"/>
  <c r="K86" i="65" s="1"/>
  <c r="J85" i="65"/>
  <c r="K85" i="65" s="1"/>
  <c r="I79" i="65"/>
  <c r="J79" i="65" s="1"/>
  <c r="I78" i="65"/>
  <c r="J78" i="65" s="1"/>
  <c r="I77" i="65"/>
  <c r="J77" i="65" s="1"/>
  <c r="I76" i="65"/>
  <c r="J76" i="65" s="1"/>
  <c r="I75" i="65"/>
  <c r="J75" i="65" s="1"/>
  <c r="M70" i="65"/>
  <c r="N70" i="65" s="1"/>
  <c r="I70" i="65"/>
  <c r="J70" i="65" s="1"/>
  <c r="M69" i="65"/>
  <c r="N69" i="65" s="1"/>
  <c r="I69" i="65"/>
  <c r="J69" i="65" s="1"/>
  <c r="M68" i="65"/>
  <c r="N68" i="65" s="1"/>
  <c r="I68" i="65"/>
  <c r="J68" i="65" s="1"/>
  <c r="M67" i="65"/>
  <c r="N67" i="65" s="1"/>
  <c r="I67" i="65"/>
  <c r="J67" i="65" s="1"/>
  <c r="M66" i="65"/>
  <c r="N66" i="65" s="1"/>
  <c r="I66" i="65"/>
  <c r="J66" i="65" s="1"/>
  <c r="M65" i="65"/>
  <c r="N65" i="65" s="1"/>
  <c r="I65" i="65"/>
  <c r="J65" i="65" s="1"/>
  <c r="M64" i="65"/>
  <c r="N64" i="65" s="1"/>
  <c r="I64" i="65"/>
  <c r="J64" i="65" s="1"/>
  <c r="I63" i="65"/>
  <c r="J63" i="65" s="1"/>
  <c r="I62" i="65"/>
  <c r="J62" i="65" s="1"/>
  <c r="I61" i="65"/>
  <c r="J61" i="65" s="1"/>
  <c r="I60" i="65"/>
  <c r="J60" i="65" s="1"/>
  <c r="I59" i="65"/>
  <c r="J59" i="65" s="1"/>
  <c r="H51" i="65"/>
  <c r="I51" i="65" s="1"/>
  <c r="J51" i="65" s="1"/>
  <c r="I50" i="65"/>
  <c r="J50" i="65" s="1"/>
  <c r="H50" i="65"/>
  <c r="H49" i="65"/>
  <c r="I49" i="65" s="1"/>
  <c r="J49" i="65" s="1"/>
  <c r="J39" i="65"/>
  <c r="K39" i="65" s="1"/>
  <c r="J38" i="65"/>
  <c r="K38" i="65" s="1"/>
  <c r="J37" i="65"/>
  <c r="K37" i="65" s="1"/>
  <c r="J36" i="65"/>
  <c r="K36" i="65" s="1"/>
  <c r="J35" i="65"/>
  <c r="K35" i="65" s="1"/>
  <c r="J34" i="65"/>
  <c r="K34" i="65" s="1"/>
  <c r="J33" i="65"/>
  <c r="K33" i="65" s="1"/>
  <c r="J27" i="65"/>
  <c r="K27" i="65" s="1"/>
  <c r="J26" i="65"/>
  <c r="K26" i="65" s="1"/>
  <c r="J25" i="65"/>
  <c r="K25" i="65" s="1"/>
  <c r="J24" i="65"/>
  <c r="K24" i="65" s="1"/>
  <c r="J23" i="65"/>
  <c r="K23" i="65" s="1"/>
  <c r="J22" i="65"/>
  <c r="K22" i="65" s="1"/>
  <c r="J21" i="65"/>
  <c r="K21" i="65" s="1"/>
  <c r="M20" i="65"/>
  <c r="N20" i="65" s="1"/>
  <c r="O20" i="65" s="1"/>
  <c r="J20" i="65"/>
  <c r="K20" i="65" s="1"/>
  <c r="M19" i="65"/>
  <c r="N19" i="65" s="1"/>
  <c r="O19" i="65" s="1"/>
  <c r="J19" i="65"/>
  <c r="K19" i="65" s="1"/>
  <c r="M18" i="65"/>
  <c r="N18" i="65" s="1"/>
  <c r="O18" i="65" s="1"/>
  <c r="J18" i="65"/>
  <c r="K18" i="65" s="1"/>
  <c r="M17" i="65"/>
  <c r="N17" i="65" s="1"/>
  <c r="O17" i="65" s="1"/>
  <c r="J17" i="65"/>
  <c r="K17" i="65" s="1"/>
  <c r="M16" i="65"/>
  <c r="N16" i="65" s="1"/>
  <c r="O16" i="65" s="1"/>
  <c r="J16" i="65"/>
  <c r="K16" i="65" s="1"/>
  <c r="M15" i="65"/>
  <c r="N15" i="65" s="1"/>
  <c r="O15" i="65" s="1"/>
  <c r="J15" i="65"/>
  <c r="K15" i="65" s="1"/>
  <c r="M14" i="65"/>
  <c r="N14" i="65" s="1"/>
  <c r="O14" i="65" s="1"/>
  <c r="J14" i="65"/>
  <c r="K14" i="65" s="1"/>
  <c r="M13" i="65"/>
  <c r="N13" i="65" s="1"/>
  <c r="O13" i="65" s="1"/>
  <c r="J13" i="65"/>
  <c r="K13" i="65" s="1"/>
  <c r="M12" i="65"/>
  <c r="N12" i="65" s="1"/>
  <c r="O12" i="65" s="1"/>
  <c r="J12" i="65"/>
  <c r="K12" i="65" s="1"/>
  <c r="M11" i="65"/>
  <c r="N11" i="65" s="1"/>
  <c r="O11" i="65" s="1"/>
  <c r="J11" i="65"/>
  <c r="K11" i="65" s="1"/>
  <c r="M10" i="65"/>
  <c r="N10" i="65" s="1"/>
  <c r="O10" i="65" s="1"/>
  <c r="J10" i="65"/>
  <c r="K10" i="65" s="1"/>
  <c r="M9" i="65"/>
  <c r="N9" i="65" s="1"/>
  <c r="O9" i="65" s="1"/>
  <c r="J9" i="65"/>
  <c r="K9" i="65" s="1"/>
  <c r="M8" i="65"/>
  <c r="N8" i="65" s="1"/>
  <c r="O8" i="65" s="1"/>
  <c r="J8" i="65"/>
  <c r="K8" i="65" s="1"/>
  <c r="M7" i="65"/>
  <c r="N7" i="65" s="1"/>
  <c r="O7" i="65" s="1"/>
  <c r="J7" i="65"/>
  <c r="K7" i="65" s="1"/>
  <c r="M6" i="65"/>
  <c r="N6" i="65" s="1"/>
  <c r="O6" i="65" s="1"/>
  <c r="J6" i="65"/>
  <c r="K6" i="65" s="1"/>
  <c r="M5" i="65"/>
  <c r="N5" i="65" s="1"/>
  <c r="O5" i="65" s="1"/>
  <c r="O29" i="65" s="1"/>
  <c r="G5" i="66" s="1"/>
  <c r="J5" i="65"/>
  <c r="K5" i="65" s="1"/>
  <c r="K29" i="65" s="1"/>
  <c r="H4" i="66" s="1"/>
  <c r="K90" i="65" l="1"/>
  <c r="G12" i="66" s="1"/>
  <c r="K45" i="65"/>
  <c r="H6" i="66" s="1"/>
  <c r="J81" i="65"/>
  <c r="N72" i="65"/>
  <c r="G9" i="66" s="1"/>
  <c r="J53" i="65"/>
  <c r="G7" i="66" s="1"/>
  <c r="I15" i="66" s="1"/>
  <c r="J72" i="65"/>
  <c r="G8" i="66" s="1"/>
  <c r="F37" i="64"/>
  <c r="F38" i="64"/>
  <c r="D38" i="64"/>
  <c r="F34" i="64"/>
  <c r="D34" i="64"/>
  <c r="E28" i="64" l="1"/>
  <c r="D27" i="64"/>
  <c r="D26" i="64"/>
  <c r="G19" i="64" l="1"/>
  <c r="D24" i="69" s="1"/>
  <c r="H12" i="64"/>
  <c r="D13" i="64"/>
  <c r="H16" i="64"/>
  <c r="D18" i="64"/>
  <c r="G17" i="64"/>
  <c r="D17" i="64"/>
  <c r="G16" i="64"/>
  <c r="D16" i="64"/>
  <c r="G14" i="64"/>
  <c r="G13" i="64"/>
  <c r="D14" i="64"/>
  <c r="J91" i="63"/>
  <c r="D91" i="63"/>
  <c r="D79" i="63"/>
  <c r="D11" i="64" s="1"/>
  <c r="G11" i="64"/>
  <c r="G10" i="64"/>
  <c r="G9" i="64"/>
  <c r="F73" i="63"/>
  <c r="D10" i="64" s="1"/>
  <c r="D73" i="63"/>
  <c r="D9" i="64" s="1"/>
  <c r="F46" i="63"/>
  <c r="D7" i="64" s="1"/>
  <c r="G7" i="64"/>
  <c r="F38" i="63"/>
  <c r="D6" i="64" s="1"/>
  <c r="H6" i="64"/>
  <c r="G5" i="64"/>
  <c r="H4" i="64"/>
  <c r="D5" i="64"/>
  <c r="E14" i="63"/>
  <c r="L15" i="63"/>
  <c r="D4" i="64"/>
  <c r="D14" i="63"/>
  <c r="G8" i="64"/>
  <c r="D8" i="64"/>
  <c r="H19" i="64" l="1"/>
  <c r="G124" i="63"/>
  <c r="F124" i="63"/>
  <c r="D124" i="63"/>
  <c r="J115" i="63"/>
  <c r="I115" i="63"/>
  <c r="I92" i="63"/>
  <c r="J92" i="63" s="1"/>
  <c r="I102" i="63"/>
  <c r="J102" i="63" s="1"/>
  <c r="I101" i="63"/>
  <c r="J101" i="63" s="1"/>
  <c r="I100" i="63"/>
  <c r="J100" i="63" s="1"/>
  <c r="I99" i="63"/>
  <c r="J99" i="63" s="1"/>
  <c r="I98" i="63"/>
  <c r="J98" i="63" s="1"/>
  <c r="I97" i="63"/>
  <c r="J97" i="63" s="1"/>
  <c r="I96" i="63"/>
  <c r="J96" i="63" s="1"/>
  <c r="J103" i="63" s="1"/>
  <c r="I90" i="63"/>
  <c r="J90" i="63" s="1"/>
  <c r="I89" i="63"/>
  <c r="J89" i="63" s="1"/>
  <c r="I88" i="63"/>
  <c r="J88" i="63" s="1"/>
  <c r="I87" i="63"/>
  <c r="J87" i="63" s="1"/>
  <c r="I86" i="63"/>
  <c r="J86" i="63" s="1"/>
  <c r="I85" i="63"/>
  <c r="J85" i="63" s="1"/>
  <c r="I84" i="63"/>
  <c r="J84" i="63" s="1"/>
  <c r="J126" i="63" s="1"/>
  <c r="I112" i="63"/>
  <c r="J112" i="63" s="1"/>
  <c r="I19" i="64" l="1"/>
  <c r="H26" i="69" s="1"/>
  <c r="I106" i="63"/>
  <c r="J106" i="63" s="1"/>
  <c r="J108" i="63" s="1"/>
  <c r="I77" i="63" l="1"/>
  <c r="J77" i="63" s="1"/>
  <c r="I76" i="63"/>
  <c r="J76" i="63" s="1"/>
  <c r="M71" i="63"/>
  <c r="N71" i="63" s="1"/>
  <c r="I71" i="63"/>
  <c r="J71" i="63" s="1"/>
  <c r="M70" i="63"/>
  <c r="N70" i="63" s="1"/>
  <c r="I70" i="63"/>
  <c r="J70" i="63" s="1"/>
  <c r="M69" i="63"/>
  <c r="N69" i="63" s="1"/>
  <c r="I69" i="63"/>
  <c r="J69" i="63" s="1"/>
  <c r="M68" i="63"/>
  <c r="N68" i="63" s="1"/>
  <c r="I68" i="63"/>
  <c r="J68" i="63" s="1"/>
  <c r="M66" i="63"/>
  <c r="N66" i="63" s="1"/>
  <c r="I66" i="63"/>
  <c r="J66" i="63" s="1"/>
  <c r="M65" i="63"/>
  <c r="N65" i="63" s="1"/>
  <c r="I65" i="63"/>
  <c r="J65" i="63" s="1"/>
  <c r="M64" i="63"/>
  <c r="N64" i="63" s="1"/>
  <c r="I64" i="63"/>
  <c r="J64" i="63" s="1"/>
  <c r="M63" i="63"/>
  <c r="N63" i="63" s="1"/>
  <c r="I63" i="63"/>
  <c r="J63" i="63" s="1"/>
  <c r="M62" i="63"/>
  <c r="N62" i="63" s="1"/>
  <c r="I62" i="63"/>
  <c r="J62" i="63" s="1"/>
  <c r="M60" i="63"/>
  <c r="N60" i="63" s="1"/>
  <c r="M59" i="63"/>
  <c r="N59" i="63" s="1"/>
  <c r="I57" i="63"/>
  <c r="J57" i="63" s="1"/>
  <c r="I56" i="63"/>
  <c r="J56" i="63" s="1"/>
  <c r="I55" i="63"/>
  <c r="J55" i="63" s="1"/>
  <c r="J79" i="63" l="1"/>
  <c r="N73" i="63"/>
  <c r="I54" i="63" l="1"/>
  <c r="J54" i="63" s="1"/>
  <c r="I53" i="63"/>
  <c r="J53" i="63" s="1"/>
  <c r="I52" i="63"/>
  <c r="J52" i="63" s="1"/>
  <c r="I51" i="63"/>
  <c r="J51" i="63" s="1"/>
  <c r="H44" i="63"/>
  <c r="I44" i="63" s="1"/>
  <c r="J44" i="63" s="1"/>
  <c r="H42" i="63"/>
  <c r="I42" i="63" s="1"/>
  <c r="J42" i="63" s="1"/>
  <c r="H43" i="63"/>
  <c r="I43" i="63" s="1"/>
  <c r="J43" i="63" s="1"/>
  <c r="I37" i="63"/>
  <c r="J37" i="63" s="1"/>
  <c r="I36" i="63"/>
  <c r="J36" i="63" s="1"/>
  <c r="I35" i="63"/>
  <c r="J35" i="63" s="1"/>
  <c r="I34" i="63"/>
  <c r="J34" i="63" s="1"/>
  <c r="I33" i="63"/>
  <c r="J33" i="63" s="1"/>
  <c r="I32" i="63"/>
  <c r="J32" i="63" s="1"/>
  <c r="I31" i="63"/>
  <c r="J31" i="63" s="1"/>
  <c r="I30" i="63"/>
  <c r="J30" i="63" s="1"/>
  <c r="I29" i="63"/>
  <c r="J29" i="63" s="1"/>
  <c r="I28" i="63"/>
  <c r="J28" i="63" s="1"/>
  <c r="I27" i="63"/>
  <c r="J27" i="63" s="1"/>
  <c r="I26" i="63"/>
  <c r="J26" i="63" s="1"/>
  <c r="I25" i="63"/>
  <c r="J25" i="63" s="1"/>
  <c r="I24" i="63"/>
  <c r="J24" i="63" s="1"/>
  <c r="I23" i="63"/>
  <c r="J23" i="63" s="1"/>
  <c r="I22" i="63"/>
  <c r="J22" i="63" s="1"/>
  <c r="I21" i="63"/>
  <c r="J21" i="63" s="1"/>
  <c r="I20" i="63"/>
  <c r="J20" i="63" s="1"/>
  <c r="I19" i="63"/>
  <c r="J19" i="63" s="1"/>
  <c r="I18" i="63"/>
  <c r="J18" i="63" s="1"/>
  <c r="J46" i="63" l="1"/>
  <c r="J73" i="63"/>
  <c r="J38" i="63"/>
  <c r="L12" i="63" l="1"/>
  <c r="M12" i="63" s="1"/>
  <c r="N12" i="63" s="1"/>
  <c r="I12" i="63"/>
  <c r="J12" i="63" s="1"/>
  <c r="L11" i="63"/>
  <c r="M11" i="63" s="1"/>
  <c r="N11" i="63" s="1"/>
  <c r="I11" i="63"/>
  <c r="J11" i="63" s="1"/>
  <c r="L10" i="63"/>
  <c r="M10" i="63" s="1"/>
  <c r="N10" i="63" s="1"/>
  <c r="I10" i="63"/>
  <c r="J10" i="63" s="1"/>
  <c r="L9" i="63"/>
  <c r="M9" i="63" s="1"/>
  <c r="N9" i="63" s="1"/>
  <c r="I9" i="63"/>
  <c r="J9" i="63" s="1"/>
  <c r="L8" i="63"/>
  <c r="M8" i="63" s="1"/>
  <c r="N8" i="63" s="1"/>
  <c r="I8" i="63"/>
  <c r="J8" i="63" s="1"/>
  <c r="I7" i="63"/>
  <c r="J7" i="63" s="1"/>
  <c r="L6" i="63"/>
  <c r="M6" i="63" s="1"/>
  <c r="N6" i="63" s="1"/>
  <c r="I6" i="63"/>
  <c r="J6" i="63" s="1"/>
  <c r="L5" i="63"/>
  <c r="M5" i="63" s="1"/>
  <c r="N5" i="63" s="1"/>
  <c r="I5" i="63"/>
  <c r="J5" i="63" s="1"/>
  <c r="N14" i="63" l="1"/>
  <c r="P14" i="63" s="1"/>
  <c r="J14" i="63"/>
  <c r="H19" i="61"/>
  <c r="G16" i="61"/>
  <c r="H12" i="58"/>
  <c r="H11" i="58"/>
  <c r="D11" i="58"/>
  <c r="D10" i="61"/>
  <c r="G6" i="58"/>
  <c r="G6" i="61" s="1"/>
  <c r="D6" i="58"/>
  <c r="H6" i="58"/>
  <c r="H127" i="57"/>
  <c r="H87" i="57"/>
  <c r="H86" i="57"/>
  <c r="H85" i="57"/>
  <c r="H84" i="57"/>
  <c r="H83" i="57"/>
  <c r="H82" i="57"/>
  <c r="H81" i="57"/>
  <c r="H80" i="57"/>
  <c r="H74" i="57"/>
  <c r="H73" i="57"/>
  <c r="H72" i="57"/>
  <c r="H71" i="57"/>
  <c r="H70" i="57"/>
  <c r="H69" i="57"/>
  <c r="H68" i="57"/>
  <c r="H67" i="57"/>
  <c r="H66" i="57"/>
  <c r="H65" i="57"/>
  <c r="G15" i="61"/>
  <c r="G14" i="61"/>
  <c r="D14" i="61"/>
  <c r="G11" i="61"/>
  <c r="D11" i="61"/>
  <c r="G8" i="61"/>
  <c r="D8" i="61"/>
  <c r="H14" i="60"/>
  <c r="J187" i="59"/>
  <c r="L185" i="59"/>
  <c r="K185" i="59"/>
  <c r="J185" i="59"/>
  <c r="D14" i="60"/>
  <c r="D19" i="61" s="1"/>
  <c r="G13" i="60"/>
  <c r="G18" i="61" s="1"/>
  <c r="G12" i="60"/>
  <c r="G17" i="61" s="1"/>
  <c r="N152" i="59"/>
  <c r="E154" i="59"/>
  <c r="D12" i="60" s="1"/>
  <c r="D17" i="61" s="1"/>
  <c r="E151" i="59"/>
  <c r="E150" i="59"/>
  <c r="E149" i="59"/>
  <c r="E148" i="59"/>
  <c r="E147" i="59"/>
  <c r="E146" i="59"/>
  <c r="E145" i="59"/>
  <c r="E144" i="59"/>
  <c r="E143" i="59"/>
  <c r="E142" i="59"/>
  <c r="M152" i="59"/>
  <c r="N154" i="59" s="1"/>
  <c r="J154" i="59"/>
  <c r="G11" i="60" s="1"/>
  <c r="G10" i="60"/>
  <c r="G6" i="60"/>
  <c r="D10" i="60"/>
  <c r="H9" i="60"/>
  <c r="H12" i="61" s="1"/>
  <c r="D9" i="60"/>
  <c r="D12" i="61" s="1"/>
  <c r="G8" i="60"/>
  <c r="D8" i="60"/>
  <c r="H7" i="60"/>
  <c r="D7" i="60"/>
  <c r="G15" i="60" l="1"/>
  <c r="L71" i="59"/>
  <c r="E107" i="59" l="1"/>
  <c r="E106" i="59"/>
  <c r="E105" i="59"/>
  <c r="E104" i="59"/>
  <c r="E103" i="59"/>
  <c r="E102" i="59"/>
  <c r="E101" i="59"/>
  <c r="E100" i="59"/>
  <c r="E99" i="59"/>
  <c r="E98" i="59"/>
  <c r="E97" i="59"/>
  <c r="E71" i="59"/>
  <c r="E70" i="59"/>
  <c r="E69" i="59"/>
  <c r="E68" i="59"/>
  <c r="E67" i="59"/>
  <c r="E66" i="59"/>
  <c r="E65" i="59"/>
  <c r="E64" i="59"/>
  <c r="E63" i="59"/>
  <c r="E62" i="59"/>
  <c r="E61" i="59"/>
  <c r="E60" i="59"/>
  <c r="E108" i="59"/>
  <c r="D6" i="60" s="1"/>
  <c r="D6" i="61" s="1"/>
  <c r="E58" i="59"/>
  <c r="E57" i="59"/>
  <c r="E56" i="59"/>
  <c r="E55" i="59"/>
  <c r="E54" i="59"/>
  <c r="L16" i="59"/>
  <c r="H4" i="60" s="1"/>
  <c r="D4" i="60"/>
  <c r="F172" i="59"/>
  <c r="F161" i="59"/>
  <c r="F154" i="59"/>
  <c r="D11" i="60" s="1"/>
  <c r="D16" i="61" s="1"/>
  <c r="F133" i="59"/>
  <c r="F127" i="59"/>
  <c r="D108" i="59"/>
  <c r="D5" i="60" s="1"/>
  <c r="D15" i="59"/>
  <c r="I185" i="59"/>
  <c r="J181" i="59" l="1"/>
  <c r="I181" i="59"/>
  <c r="J133" i="59" l="1"/>
  <c r="N172" i="59"/>
  <c r="J170" i="59"/>
  <c r="K170" i="59" s="1"/>
  <c r="L170" i="59" s="1"/>
  <c r="N170" i="59" s="1"/>
  <c r="I170" i="59"/>
  <c r="J169" i="59"/>
  <c r="I169" i="59"/>
  <c r="J168" i="59"/>
  <c r="I168" i="59"/>
  <c r="J167" i="59"/>
  <c r="I167" i="59"/>
  <c r="J166" i="59"/>
  <c r="K166" i="59" s="1"/>
  <c r="L166" i="59" s="1"/>
  <c r="N166" i="59" s="1"/>
  <c r="I166" i="59"/>
  <c r="J165" i="59"/>
  <c r="I165" i="59"/>
  <c r="J159" i="59"/>
  <c r="I159" i="59"/>
  <c r="I158" i="59"/>
  <c r="J158" i="59" s="1"/>
  <c r="M151" i="59"/>
  <c r="N151" i="59" s="1"/>
  <c r="I151" i="59"/>
  <c r="J151" i="59" s="1"/>
  <c r="M150" i="59"/>
  <c r="N150" i="59" s="1"/>
  <c r="I150" i="59"/>
  <c r="J150" i="59" s="1"/>
  <c r="M149" i="59"/>
  <c r="N149" i="59" s="1"/>
  <c r="I149" i="59"/>
  <c r="J149" i="59" s="1"/>
  <c r="M148" i="59"/>
  <c r="N148" i="59" s="1"/>
  <c r="I148" i="59"/>
  <c r="J148" i="59" s="1"/>
  <c r="M147" i="59"/>
  <c r="N147" i="59" s="1"/>
  <c r="I147" i="59"/>
  <c r="J147" i="59"/>
  <c r="M146" i="59"/>
  <c r="N146" i="59" s="1"/>
  <c r="I146" i="59"/>
  <c r="J146" i="59" s="1"/>
  <c r="M144" i="59"/>
  <c r="N144" i="59" s="1"/>
  <c r="I144" i="59"/>
  <c r="J144" i="59" s="1"/>
  <c r="M143" i="59"/>
  <c r="N143" i="59" s="1"/>
  <c r="J143" i="59"/>
  <c r="I143" i="59"/>
  <c r="M142" i="59"/>
  <c r="N142" i="59" s="1"/>
  <c r="I142" i="59"/>
  <c r="J142" i="59" s="1"/>
  <c r="M145" i="59"/>
  <c r="N145" i="59" s="1"/>
  <c r="I145" i="59"/>
  <c r="J145" i="59" s="1"/>
  <c r="K168" i="59" l="1"/>
  <c r="L168" i="59" s="1"/>
  <c r="N168" i="59" s="1"/>
  <c r="K167" i="59"/>
  <c r="L167" i="59" s="1"/>
  <c r="N167" i="59" s="1"/>
  <c r="K169" i="59"/>
  <c r="L169" i="59" s="1"/>
  <c r="N169" i="59" s="1"/>
  <c r="J161" i="59"/>
  <c r="K165" i="59"/>
  <c r="L165" i="59" s="1"/>
  <c r="N165" i="59" s="1"/>
  <c r="I141" i="59" l="1"/>
  <c r="J141" i="59" s="1"/>
  <c r="I140" i="59"/>
  <c r="J140" i="59" s="1"/>
  <c r="I139" i="59"/>
  <c r="J139" i="59" s="1"/>
  <c r="I138" i="59"/>
  <c r="J138" i="59" s="1"/>
  <c r="I137" i="59"/>
  <c r="J137" i="59" s="1"/>
  <c r="I136" i="59"/>
  <c r="J136" i="59" s="1"/>
  <c r="H132" i="59"/>
  <c r="I132" i="59" s="1"/>
  <c r="J132" i="59" s="1"/>
  <c r="H131" i="59"/>
  <c r="I131" i="59" s="1"/>
  <c r="J131" i="59" s="1"/>
  <c r="I126" i="59"/>
  <c r="J126" i="59" s="1"/>
  <c r="I125" i="59"/>
  <c r="J125" i="59" s="1"/>
  <c r="I124" i="59"/>
  <c r="J124" i="59" s="1"/>
  <c r="I123" i="59"/>
  <c r="J123" i="59" s="1"/>
  <c r="I122" i="59"/>
  <c r="J122" i="59" s="1"/>
  <c r="I121" i="59"/>
  <c r="J121" i="59" s="1"/>
  <c r="I120" i="59"/>
  <c r="J120" i="59" s="1"/>
  <c r="I119" i="59"/>
  <c r="J119" i="59" s="1"/>
  <c r="I118" i="59"/>
  <c r="J118" i="59" s="1"/>
  <c r="I117" i="59"/>
  <c r="J117" i="59" s="1"/>
  <c r="I116" i="59"/>
  <c r="J116" i="59" s="1"/>
  <c r="I115" i="59"/>
  <c r="J115" i="59" s="1"/>
  <c r="J127" i="59" l="1"/>
  <c r="K107" i="59"/>
  <c r="L107" i="59" s="1"/>
  <c r="M107" i="59" s="1"/>
  <c r="H107" i="59"/>
  <c r="I107" i="59" s="1"/>
  <c r="K106" i="59"/>
  <c r="L106" i="59" s="1"/>
  <c r="M106" i="59" s="1"/>
  <c r="H106" i="59"/>
  <c r="I106" i="59" s="1"/>
  <c r="K105" i="59"/>
  <c r="L105" i="59" s="1"/>
  <c r="M105" i="59" s="1"/>
  <c r="H105" i="59"/>
  <c r="I105" i="59" s="1"/>
  <c r="K104" i="59"/>
  <c r="L104" i="59" s="1"/>
  <c r="M104" i="59" s="1"/>
  <c r="H104" i="59"/>
  <c r="I104" i="59" s="1"/>
  <c r="K103" i="59"/>
  <c r="L103" i="59" s="1"/>
  <c r="M103" i="59" s="1"/>
  <c r="H103" i="59"/>
  <c r="I103" i="59" s="1"/>
  <c r="K102" i="59"/>
  <c r="L102" i="59" s="1"/>
  <c r="M102" i="59" s="1"/>
  <c r="H102" i="59"/>
  <c r="I102" i="59" s="1"/>
  <c r="K101" i="59"/>
  <c r="L101" i="59" s="1"/>
  <c r="M101" i="59" s="1"/>
  <c r="H101" i="59"/>
  <c r="I101" i="59" s="1"/>
  <c r="K100" i="59"/>
  <c r="L100" i="59" s="1"/>
  <c r="M100" i="59" s="1"/>
  <c r="H100" i="59"/>
  <c r="I100" i="59" s="1"/>
  <c r="K99" i="59"/>
  <c r="L99" i="59" s="1"/>
  <c r="M99" i="59" s="1"/>
  <c r="H99" i="59"/>
  <c r="I99" i="59" s="1"/>
  <c r="K98" i="59"/>
  <c r="L98" i="59" s="1"/>
  <c r="M98" i="59" s="1"/>
  <c r="H98" i="59"/>
  <c r="I98" i="59" s="1"/>
  <c r="K97" i="59"/>
  <c r="L97" i="59" s="1"/>
  <c r="M97" i="59" s="1"/>
  <c r="H97" i="59"/>
  <c r="I97" i="59" s="1"/>
  <c r="M71" i="59"/>
  <c r="H71" i="59"/>
  <c r="I71" i="59" s="1"/>
  <c r="H70" i="59"/>
  <c r="I70" i="59" s="1"/>
  <c r="H69" i="59"/>
  <c r="I69" i="59" s="1"/>
  <c r="H68" i="59"/>
  <c r="I68" i="59" s="1"/>
  <c r="H67" i="59"/>
  <c r="I67" i="59" s="1"/>
  <c r="H66" i="59"/>
  <c r="I66" i="59" s="1"/>
  <c r="H65" i="59"/>
  <c r="I65" i="59" s="1"/>
  <c r="H64" i="59"/>
  <c r="I64" i="59" s="1"/>
  <c r="H63" i="59"/>
  <c r="I63" i="59" s="1"/>
  <c r="H62" i="59"/>
  <c r="I62" i="59" s="1"/>
  <c r="H61" i="59"/>
  <c r="I61" i="59" s="1"/>
  <c r="K70" i="59"/>
  <c r="L70" i="59" s="1"/>
  <c r="M70" i="59" s="1"/>
  <c r="K69" i="59"/>
  <c r="L69" i="59" s="1"/>
  <c r="M69" i="59" s="1"/>
  <c r="K68" i="59"/>
  <c r="L68" i="59" s="1"/>
  <c r="M68" i="59" s="1"/>
  <c r="K67" i="59"/>
  <c r="L67" i="59" s="1"/>
  <c r="M67" i="59" s="1"/>
  <c r="K66" i="59"/>
  <c r="L66" i="59" s="1"/>
  <c r="M66" i="59" s="1"/>
  <c r="K65" i="59"/>
  <c r="L65" i="59" s="1"/>
  <c r="M65" i="59" s="1"/>
  <c r="K64" i="59"/>
  <c r="L64" i="59" s="1"/>
  <c r="M64" i="59" s="1"/>
  <c r="K63" i="59"/>
  <c r="L63" i="59" s="1"/>
  <c r="M63" i="59" s="1"/>
  <c r="K62" i="59"/>
  <c r="L62" i="59" s="1"/>
  <c r="M62" i="59" s="1"/>
  <c r="K61" i="59"/>
  <c r="L61" i="59" s="1"/>
  <c r="M61" i="59" s="1"/>
  <c r="K60" i="59"/>
  <c r="L60" i="59" s="1"/>
  <c r="M60" i="59" s="1"/>
  <c r="H60" i="59"/>
  <c r="I60" i="59" s="1"/>
  <c r="H59" i="59"/>
  <c r="I59" i="59" s="1"/>
  <c r="K58" i="59"/>
  <c r="L58" i="59" s="1"/>
  <c r="M58" i="59" s="1"/>
  <c r="H58" i="59"/>
  <c r="I58" i="59" s="1"/>
  <c r="K57" i="59"/>
  <c r="L57" i="59" s="1"/>
  <c r="M57" i="59" s="1"/>
  <c r="H57" i="59"/>
  <c r="I57" i="59" s="1"/>
  <c r="K56" i="59"/>
  <c r="L56" i="59" s="1"/>
  <c r="M56" i="59" s="1"/>
  <c r="H56" i="59"/>
  <c r="I56" i="59" s="1"/>
  <c r="K55" i="59"/>
  <c r="L55" i="59" s="1"/>
  <c r="M55" i="59" s="1"/>
  <c r="H55" i="59"/>
  <c r="I55" i="59" s="1"/>
  <c r="K54" i="59"/>
  <c r="L54" i="59" s="1"/>
  <c r="M54" i="59" s="1"/>
  <c r="H54" i="59"/>
  <c r="I54" i="59" s="1"/>
  <c r="H53" i="59"/>
  <c r="I53" i="59" s="1"/>
  <c r="H52" i="59"/>
  <c r="I52" i="59" s="1"/>
  <c r="H51" i="59"/>
  <c r="I51" i="59" s="1"/>
  <c r="K48" i="59"/>
  <c r="L48" i="59" s="1"/>
  <c r="M48" i="59" s="1"/>
  <c r="K47" i="59"/>
  <c r="L47" i="59" s="1"/>
  <c r="M47" i="59" s="1"/>
  <c r="K46" i="59"/>
  <c r="L46" i="59" s="1"/>
  <c r="M46" i="59" s="1"/>
  <c r="H48" i="59"/>
  <c r="I48" i="59" s="1"/>
  <c r="H47" i="59"/>
  <c r="I47" i="59" s="1"/>
  <c r="H46" i="59"/>
  <c r="I46" i="59" s="1"/>
  <c r="H96" i="59"/>
  <c r="I96" i="59" s="1"/>
  <c r="H95" i="59"/>
  <c r="I95" i="59" s="1"/>
  <c r="H94" i="59"/>
  <c r="I94" i="59" s="1"/>
  <c r="H93" i="59"/>
  <c r="I93" i="59" s="1"/>
  <c r="H92" i="59"/>
  <c r="I92" i="59" s="1"/>
  <c r="H91" i="59"/>
  <c r="I91" i="59" s="1"/>
  <c r="H90" i="59"/>
  <c r="I90" i="59" s="1"/>
  <c r="H89" i="59"/>
  <c r="I89" i="59" s="1"/>
  <c r="H88" i="59"/>
  <c r="I88" i="59" s="1"/>
  <c r="H87" i="59"/>
  <c r="I87" i="59" s="1"/>
  <c r="H86" i="59"/>
  <c r="I86" i="59" s="1"/>
  <c r="H85" i="59"/>
  <c r="I85" i="59" s="1"/>
  <c r="H84" i="59"/>
  <c r="I84" i="59" s="1"/>
  <c r="H83" i="59"/>
  <c r="I83" i="59" s="1"/>
  <c r="H82" i="59"/>
  <c r="I82" i="59" s="1"/>
  <c r="H81" i="59"/>
  <c r="I81" i="59" s="1"/>
  <c r="H80" i="59"/>
  <c r="I80" i="59" s="1"/>
  <c r="H79" i="59"/>
  <c r="I79" i="59" s="1"/>
  <c r="H78" i="59"/>
  <c r="I78" i="59" s="1"/>
  <c r="H77" i="59"/>
  <c r="I77" i="59" s="1"/>
  <c r="H76" i="59"/>
  <c r="I76" i="59" s="1"/>
  <c r="H75" i="59"/>
  <c r="I75" i="59" s="1"/>
  <c r="H74" i="59"/>
  <c r="I74" i="59" s="1"/>
  <c r="H73" i="59"/>
  <c r="I73" i="59" s="1"/>
  <c r="H72" i="59"/>
  <c r="I72" i="59" s="1"/>
  <c r="H50" i="59"/>
  <c r="I50" i="59" s="1"/>
  <c r="H49" i="59"/>
  <c r="I49" i="59" s="1"/>
  <c r="H45" i="59"/>
  <c r="I45" i="59" s="1"/>
  <c r="H44" i="59"/>
  <c r="I44" i="59" s="1"/>
  <c r="H43" i="59"/>
  <c r="I43" i="59" s="1"/>
  <c r="H42" i="59"/>
  <c r="I42" i="59" s="1"/>
  <c r="H41" i="59"/>
  <c r="I41" i="59" s="1"/>
  <c r="H40" i="59"/>
  <c r="I40" i="59" s="1"/>
  <c r="H39" i="59"/>
  <c r="I39" i="59" s="1"/>
  <c r="H38" i="59"/>
  <c r="I38" i="59" s="1"/>
  <c r="H37" i="59"/>
  <c r="I37" i="59" s="1"/>
  <c r="H36" i="59"/>
  <c r="I36" i="59" s="1"/>
  <c r="M109" i="59" l="1"/>
  <c r="I109" i="59"/>
  <c r="H5" i="60" s="1"/>
  <c r="H15" i="60" s="1"/>
  <c r="D32" i="59"/>
  <c r="H30" i="59"/>
  <c r="I30" i="59" s="1"/>
  <c r="H29" i="59"/>
  <c r="I29" i="59" s="1"/>
  <c r="H28" i="59"/>
  <c r="I28" i="59" s="1"/>
  <c r="H27" i="59"/>
  <c r="I27" i="59" s="1"/>
  <c r="H26" i="59"/>
  <c r="I26" i="59" s="1"/>
  <c r="H25" i="59"/>
  <c r="I25" i="59" s="1"/>
  <c r="H24" i="59"/>
  <c r="I24" i="59" s="1"/>
  <c r="H23" i="59"/>
  <c r="I23" i="59" s="1"/>
  <c r="H22" i="59"/>
  <c r="I22" i="59" s="1"/>
  <c r="H21" i="59"/>
  <c r="I21" i="59" s="1"/>
  <c r="M8" i="59"/>
  <c r="L8" i="59"/>
  <c r="M14" i="59"/>
  <c r="L14" i="59"/>
  <c r="M13" i="59"/>
  <c r="L13" i="59"/>
  <c r="M12" i="59"/>
  <c r="L12" i="59"/>
  <c r="M11" i="59"/>
  <c r="L11" i="59"/>
  <c r="M10" i="59"/>
  <c r="L10" i="59"/>
  <c r="M9" i="59"/>
  <c r="L9" i="59"/>
  <c r="M7" i="59"/>
  <c r="L7" i="59"/>
  <c r="M6" i="59"/>
  <c r="L6" i="59"/>
  <c r="R21" i="57"/>
  <c r="M5" i="59"/>
  <c r="L5" i="59"/>
  <c r="H14" i="59"/>
  <c r="I14" i="59" s="1"/>
  <c r="H13" i="59"/>
  <c r="I13" i="59" s="1"/>
  <c r="H12" i="59"/>
  <c r="I12" i="59" s="1"/>
  <c r="H11" i="59"/>
  <c r="I11" i="59" s="1"/>
  <c r="H10" i="59"/>
  <c r="I10" i="59" s="1"/>
  <c r="H9" i="59"/>
  <c r="I9" i="59" s="1"/>
  <c r="H8" i="59"/>
  <c r="I8" i="59" s="1"/>
  <c r="H7" i="59"/>
  <c r="I7" i="59" s="1"/>
  <c r="H6" i="59"/>
  <c r="I6" i="59" s="1"/>
  <c r="H5" i="59"/>
  <c r="I5" i="59" s="1"/>
  <c r="I15" i="60" l="1"/>
  <c r="Q16" i="59"/>
  <c r="I16" i="59"/>
  <c r="N10" i="59"/>
  <c r="O10" i="59" s="1"/>
  <c r="N14" i="59"/>
  <c r="O14" i="59" s="1"/>
  <c r="I32" i="59"/>
  <c r="N6" i="59"/>
  <c r="O6" i="59" s="1"/>
  <c r="N9" i="59"/>
  <c r="O9" i="59" s="1"/>
  <c r="N5" i="59"/>
  <c r="O5" i="59" s="1"/>
  <c r="N11" i="59"/>
  <c r="O11" i="59" s="1"/>
  <c r="N13" i="59"/>
  <c r="O13" i="59" s="1"/>
  <c r="N7" i="59"/>
  <c r="O7" i="59" s="1"/>
  <c r="N12" i="59"/>
  <c r="O12" i="59" s="1"/>
  <c r="N8" i="59"/>
  <c r="O8" i="59" s="1"/>
  <c r="G19" i="58"/>
  <c r="G18" i="58"/>
  <c r="D19" i="58"/>
  <c r="G230" i="57"/>
  <c r="D18" i="58"/>
  <c r="F225" i="57"/>
  <c r="N219" i="57"/>
  <c r="G10" i="58"/>
  <c r="D10" i="58"/>
  <c r="G8" i="58"/>
  <c r="G9" i="61" s="1"/>
  <c r="D8" i="58"/>
  <c r="D9" i="61" s="1"/>
  <c r="F217" i="57"/>
  <c r="F209" i="57"/>
  <c r="F196" i="57"/>
  <c r="F180" i="57"/>
  <c r="G170" i="57"/>
  <c r="D7" i="58" s="1"/>
  <c r="D7" i="61" s="1"/>
  <c r="H5" i="58"/>
  <c r="H5" i="61" s="1"/>
  <c r="G127" i="57"/>
  <c r="D5" i="58"/>
  <c r="D5" i="61" s="1"/>
  <c r="D4" i="58"/>
  <c r="D4" i="61" s="1"/>
  <c r="G26" i="57"/>
  <c r="G9" i="58"/>
  <c r="G10" i="61" s="1"/>
  <c r="H7" i="58"/>
  <c r="H7" i="61" s="1"/>
  <c r="H4" i="58"/>
  <c r="H4" i="61" s="1"/>
  <c r="D9" i="58"/>
  <c r="N52" i="57"/>
  <c r="N27" i="57"/>
  <c r="R26" i="57"/>
  <c r="R24" i="57"/>
  <c r="Q24" i="57"/>
  <c r="Q23" i="57"/>
  <c r="R23" i="57" s="1"/>
  <c r="R22" i="57"/>
  <c r="Q22" i="57"/>
  <c r="Q21" i="57"/>
  <c r="R20" i="57"/>
  <c r="Q20" i="57"/>
  <c r="Q19" i="57"/>
  <c r="R19" i="57" s="1"/>
  <c r="R18" i="57"/>
  <c r="Q18" i="57"/>
  <c r="Q17" i="57"/>
  <c r="R17" i="57" s="1"/>
  <c r="R16" i="57"/>
  <c r="Q16" i="57"/>
  <c r="Q15" i="57"/>
  <c r="R15" i="57" s="1"/>
  <c r="R14" i="57"/>
  <c r="Q14" i="57"/>
  <c r="Q13" i="57"/>
  <c r="R13" i="57" s="1"/>
  <c r="R12" i="57"/>
  <c r="Q12" i="57"/>
  <c r="Q11" i="57"/>
  <c r="R11" i="57" s="1"/>
  <c r="R10" i="57"/>
  <c r="Q10" i="57"/>
  <c r="Q9" i="57"/>
  <c r="R9" i="57" s="1"/>
  <c r="R8" i="57"/>
  <c r="Q8" i="57"/>
  <c r="Q7" i="57"/>
  <c r="R7" i="57" s="1"/>
  <c r="R6" i="57"/>
  <c r="Q6" i="57"/>
  <c r="Q5" i="57"/>
  <c r="R5" i="57" s="1"/>
  <c r="P24" i="57"/>
  <c r="O24" i="57"/>
  <c r="P23" i="57"/>
  <c r="O23" i="57"/>
  <c r="P22" i="57"/>
  <c r="O22" i="57"/>
  <c r="P21" i="57"/>
  <c r="O21" i="57"/>
  <c r="P20" i="57"/>
  <c r="O20" i="57"/>
  <c r="P19" i="57"/>
  <c r="O19" i="57"/>
  <c r="P18" i="57"/>
  <c r="O18" i="57"/>
  <c r="P17" i="57"/>
  <c r="O17" i="57"/>
  <c r="P16" i="57"/>
  <c r="O16" i="57"/>
  <c r="P15" i="57"/>
  <c r="O15" i="57"/>
  <c r="P14" i="57"/>
  <c r="O14" i="57"/>
  <c r="P13" i="57"/>
  <c r="O13" i="57"/>
  <c r="P12" i="57"/>
  <c r="O12" i="57"/>
  <c r="P11" i="57"/>
  <c r="O11" i="57"/>
  <c r="P10" i="57"/>
  <c r="O10" i="57"/>
  <c r="P9" i="57"/>
  <c r="O9" i="57"/>
  <c r="P8" i="57"/>
  <c r="O8" i="57"/>
  <c r="P7" i="57"/>
  <c r="O7" i="57"/>
  <c r="P6" i="57"/>
  <c r="O6" i="57"/>
  <c r="P5" i="57"/>
  <c r="O5" i="57"/>
  <c r="G20" i="61" l="1"/>
  <c r="H20" i="61"/>
  <c r="I20" i="61" s="1"/>
  <c r="G20" i="58"/>
  <c r="I20" i="58" s="1"/>
  <c r="O16" i="59"/>
  <c r="G12" i="58"/>
  <c r="G229" i="57"/>
  <c r="L229" i="57" s="1"/>
  <c r="G228" i="57"/>
  <c r="L228" i="57" s="1"/>
  <c r="K223" i="57"/>
  <c r="L223" i="57" s="1"/>
  <c r="K222" i="57"/>
  <c r="L222" i="57" s="1"/>
  <c r="L225" i="57" s="1"/>
  <c r="L215" i="57"/>
  <c r="K215" i="57"/>
  <c r="M215" i="57" s="1"/>
  <c r="N215" i="57" s="1"/>
  <c r="P215" i="57" s="1"/>
  <c r="L214" i="57"/>
  <c r="K214" i="57"/>
  <c r="L213" i="57"/>
  <c r="K213" i="57"/>
  <c r="I12" i="58" l="1"/>
  <c r="L231" i="57"/>
  <c r="M213" i="57"/>
  <c r="N213" i="57" s="1"/>
  <c r="P213" i="57" s="1"/>
  <c r="M214" i="57"/>
  <c r="N214" i="57" s="1"/>
  <c r="P214" i="57" s="1"/>
  <c r="P217" i="57" s="1"/>
  <c r="K207" i="57" l="1"/>
  <c r="L207" i="57" s="1"/>
  <c r="K206" i="57"/>
  <c r="L206" i="57" s="1"/>
  <c r="K205" i="57"/>
  <c r="L205" i="57" s="1"/>
  <c r="K204" i="57"/>
  <c r="L204" i="57" s="1"/>
  <c r="K203" i="57"/>
  <c r="L203" i="57" s="1"/>
  <c r="K202" i="57"/>
  <c r="L202" i="57" s="1"/>
  <c r="K201" i="57"/>
  <c r="L201" i="57" s="1"/>
  <c r="K200" i="57"/>
  <c r="L200" i="57" s="1"/>
  <c r="K199" i="57"/>
  <c r="L199" i="57" s="1"/>
  <c r="L209" i="57" l="1"/>
  <c r="K186" i="57"/>
  <c r="L186" i="57" s="1"/>
  <c r="K194" i="57"/>
  <c r="L194" i="57" s="1"/>
  <c r="K193" i="57"/>
  <c r="L193" i="57" s="1"/>
  <c r="K192" i="57"/>
  <c r="L192" i="57" s="1"/>
  <c r="K191" i="57"/>
  <c r="L191" i="57" s="1"/>
  <c r="K190" i="57"/>
  <c r="L190" i="57" s="1"/>
  <c r="K189" i="57"/>
  <c r="L189" i="57" s="1"/>
  <c r="K188" i="57"/>
  <c r="L188" i="57" s="1"/>
  <c r="K187" i="57"/>
  <c r="L187" i="57" s="1"/>
  <c r="N87" i="57"/>
  <c r="O87" i="57" s="1"/>
  <c r="P87" i="57" s="1"/>
  <c r="N86" i="57"/>
  <c r="O86" i="57" s="1"/>
  <c r="P86" i="57" s="1"/>
  <c r="N85" i="57"/>
  <c r="O85" i="57" s="1"/>
  <c r="P85" i="57" s="1"/>
  <c r="N84" i="57"/>
  <c r="O84" i="57" s="1"/>
  <c r="P84" i="57" s="1"/>
  <c r="N83" i="57"/>
  <c r="O83" i="57" s="1"/>
  <c r="P83" i="57" s="1"/>
  <c r="N82" i="57"/>
  <c r="O82" i="57" s="1"/>
  <c r="P82" i="57" s="1"/>
  <c r="N81" i="57"/>
  <c r="O81" i="57" s="1"/>
  <c r="P81" i="57" s="1"/>
  <c r="N80" i="57"/>
  <c r="O80" i="57" s="1"/>
  <c r="P80" i="57" s="1"/>
  <c r="N74" i="57"/>
  <c r="O74" i="57" s="1"/>
  <c r="P74" i="57" s="1"/>
  <c r="N73" i="57"/>
  <c r="O73" i="57" s="1"/>
  <c r="P73" i="57" s="1"/>
  <c r="N72" i="57"/>
  <c r="O72" i="57" s="1"/>
  <c r="P72" i="57" s="1"/>
  <c r="N71" i="57"/>
  <c r="O71" i="57" s="1"/>
  <c r="P71" i="57" s="1"/>
  <c r="N70" i="57"/>
  <c r="O70" i="57" s="1"/>
  <c r="P70" i="57" s="1"/>
  <c r="N69" i="57"/>
  <c r="O69" i="57" s="1"/>
  <c r="P69" i="57" s="1"/>
  <c r="N68" i="57"/>
  <c r="O68" i="57" s="1"/>
  <c r="P68" i="57" s="1"/>
  <c r="N67" i="57"/>
  <c r="O67" i="57" s="1"/>
  <c r="P67" i="57" s="1"/>
  <c r="N66" i="57"/>
  <c r="O66" i="57" s="1"/>
  <c r="P66" i="57" s="1"/>
  <c r="N65" i="57"/>
  <c r="O65" i="57" s="1"/>
  <c r="P65" i="57" s="1"/>
  <c r="L196" i="57" l="1"/>
  <c r="P125" i="57"/>
  <c r="J178" i="57" l="1"/>
  <c r="K178" i="57" s="1"/>
  <c r="L178" i="57" s="1"/>
  <c r="J177" i="57"/>
  <c r="K177" i="57" s="1"/>
  <c r="L177" i="57" s="1"/>
  <c r="J176" i="57"/>
  <c r="K176" i="57" s="1"/>
  <c r="L176" i="57" s="1"/>
  <c r="L169" i="57"/>
  <c r="M169" i="57" s="1"/>
  <c r="L168" i="57"/>
  <c r="M168" i="57" s="1"/>
  <c r="L167" i="57"/>
  <c r="M167" i="57" s="1"/>
  <c r="L166" i="57"/>
  <c r="M166" i="57" s="1"/>
  <c r="L165" i="57"/>
  <c r="M165" i="57" s="1"/>
  <c r="L164" i="57"/>
  <c r="M164" i="57" s="1"/>
  <c r="L163" i="57"/>
  <c r="M163" i="57" s="1"/>
  <c r="L162" i="57"/>
  <c r="M162" i="57" s="1"/>
  <c r="L161" i="57"/>
  <c r="M161" i="57" s="1"/>
  <c r="L160" i="57"/>
  <c r="M160" i="57" s="1"/>
  <c r="L159" i="57"/>
  <c r="M159" i="57" s="1"/>
  <c r="L158" i="57"/>
  <c r="M158" i="57" s="1"/>
  <c r="L157" i="57"/>
  <c r="M157" i="57" s="1"/>
  <c r="L156" i="57"/>
  <c r="M156" i="57" s="1"/>
  <c r="L155" i="57"/>
  <c r="M155" i="57" s="1"/>
  <c r="L154" i="57"/>
  <c r="M154" i="57" s="1"/>
  <c r="L153" i="57"/>
  <c r="M153" i="57" s="1"/>
  <c r="L152" i="57"/>
  <c r="M152" i="57" s="1"/>
  <c r="L151" i="57"/>
  <c r="M151" i="57" s="1"/>
  <c r="L150" i="57"/>
  <c r="M150" i="57" s="1"/>
  <c r="L149" i="57"/>
  <c r="M149" i="57" s="1"/>
  <c r="L148" i="57"/>
  <c r="M148" i="57" s="1"/>
  <c r="L147" i="57"/>
  <c r="M147" i="57" s="1"/>
  <c r="L146" i="57"/>
  <c r="M146" i="57" s="1"/>
  <c r="L145" i="57"/>
  <c r="M145" i="57" s="1"/>
  <c r="L144" i="57"/>
  <c r="M144" i="57" s="1"/>
  <c r="L143" i="57"/>
  <c r="M143" i="57" s="1"/>
  <c r="L142" i="57"/>
  <c r="M142" i="57" s="1"/>
  <c r="L141" i="57"/>
  <c r="L140" i="57"/>
  <c r="M140" i="57" s="1"/>
  <c r="L139" i="57"/>
  <c r="M139" i="57" s="1"/>
  <c r="L138" i="57"/>
  <c r="M138" i="57" s="1"/>
  <c r="L137" i="57"/>
  <c r="M137" i="57" s="1"/>
  <c r="L136" i="57"/>
  <c r="M136" i="57" s="1"/>
  <c r="L135" i="57"/>
  <c r="M135" i="57" s="1"/>
  <c r="L134" i="57"/>
  <c r="M134" i="57" s="1"/>
  <c r="L133" i="57"/>
  <c r="M133" i="57" s="1"/>
  <c r="L132" i="57"/>
  <c r="M132" i="57" s="1"/>
  <c r="K123" i="57"/>
  <c r="L123" i="57" s="1"/>
  <c r="K122" i="57"/>
  <c r="L122" i="57" s="1"/>
  <c r="K121" i="57"/>
  <c r="L121" i="57" s="1"/>
  <c r="K120" i="57"/>
  <c r="L120" i="57" s="1"/>
  <c r="K119" i="57"/>
  <c r="L119" i="57" s="1"/>
  <c r="K118" i="57"/>
  <c r="L118" i="57" s="1"/>
  <c r="K117" i="57"/>
  <c r="L117" i="57" s="1"/>
  <c r="K116" i="57"/>
  <c r="L116" i="57" s="1"/>
  <c r="K115" i="57"/>
  <c r="L115" i="57" s="1"/>
  <c r="K114" i="57"/>
  <c r="L114" i="57" s="1"/>
  <c r="K113" i="57"/>
  <c r="L113" i="57" s="1"/>
  <c r="K112" i="57"/>
  <c r="L112" i="57" s="1"/>
  <c r="K111" i="57"/>
  <c r="L111" i="57" s="1"/>
  <c r="K110" i="57"/>
  <c r="L110" i="57" s="1"/>
  <c r="K109" i="57"/>
  <c r="L109" i="57" s="1"/>
  <c r="K108" i="57"/>
  <c r="L108" i="57" s="1"/>
  <c r="K107" i="57"/>
  <c r="L107" i="57" s="1"/>
  <c r="K106" i="57"/>
  <c r="L106" i="57" s="1"/>
  <c r="K105" i="57"/>
  <c r="L105" i="57" s="1"/>
  <c r="K104" i="57"/>
  <c r="L104" i="57" s="1"/>
  <c r="K103" i="57"/>
  <c r="L103" i="57" s="1"/>
  <c r="K102" i="57"/>
  <c r="L102" i="57" s="1"/>
  <c r="K101" i="57"/>
  <c r="L101" i="57" s="1"/>
  <c r="K100" i="57"/>
  <c r="L100" i="57" s="1"/>
  <c r="K99" i="57"/>
  <c r="L99" i="57" s="1"/>
  <c r="K98" i="57"/>
  <c r="L98" i="57" s="1"/>
  <c r="K97" i="57"/>
  <c r="L97" i="57" s="1"/>
  <c r="K96" i="57"/>
  <c r="L96" i="57" s="1"/>
  <c r="K95" i="57"/>
  <c r="L95" i="57" s="1"/>
  <c r="K94" i="57"/>
  <c r="L94" i="57" s="1"/>
  <c r="K93" i="57"/>
  <c r="L93" i="57" s="1"/>
  <c r="K92" i="57"/>
  <c r="L92" i="57" s="1"/>
  <c r="K91" i="57"/>
  <c r="L91" i="57" s="1"/>
  <c r="K90" i="57"/>
  <c r="L90" i="57" s="1"/>
  <c r="K89" i="57"/>
  <c r="L89" i="57" s="1"/>
  <c r="K88" i="57"/>
  <c r="L88" i="57" s="1"/>
  <c r="K87" i="57"/>
  <c r="L87" i="57" s="1"/>
  <c r="K86" i="57"/>
  <c r="L86" i="57" s="1"/>
  <c r="L85" i="57"/>
  <c r="K85" i="57"/>
  <c r="K84" i="57"/>
  <c r="L84" i="57" s="1"/>
  <c r="K83" i="57"/>
  <c r="L83" i="57" s="1"/>
  <c r="K82" i="57"/>
  <c r="L82" i="57" s="1"/>
  <c r="K81" i="57"/>
  <c r="L81" i="57" s="1"/>
  <c r="K80" i="57"/>
  <c r="L80" i="57" s="1"/>
  <c r="K79" i="57"/>
  <c r="L79" i="57" s="1"/>
  <c r="K78" i="57"/>
  <c r="L78" i="57" s="1"/>
  <c r="K77" i="57"/>
  <c r="L77" i="57" s="1"/>
  <c r="K76" i="57"/>
  <c r="L76" i="57" s="1"/>
  <c r="K75" i="57"/>
  <c r="L75" i="57" s="1"/>
  <c r="K74" i="57"/>
  <c r="L74" i="57" s="1"/>
  <c r="K73" i="57"/>
  <c r="L73" i="57" s="1"/>
  <c r="K72" i="57"/>
  <c r="L72" i="57" s="1"/>
  <c r="K71" i="57"/>
  <c r="L71" i="57" s="1"/>
  <c r="K70" i="57"/>
  <c r="L70" i="57" s="1"/>
  <c r="K69" i="57"/>
  <c r="L69" i="57" s="1"/>
  <c r="K68" i="57"/>
  <c r="L68" i="57" s="1"/>
  <c r="K67" i="57"/>
  <c r="L67" i="57" s="1"/>
  <c r="K66" i="57"/>
  <c r="L66" i="57" s="1"/>
  <c r="K65" i="57"/>
  <c r="L65" i="57" s="1"/>
  <c r="K64" i="57"/>
  <c r="L64" i="57" s="1"/>
  <c r="K63" i="57"/>
  <c r="L63" i="57" s="1"/>
  <c r="K62" i="57"/>
  <c r="L62" i="57" s="1"/>
  <c r="K61" i="57"/>
  <c r="L61" i="57" s="1"/>
  <c r="K60" i="57"/>
  <c r="L60" i="57" s="1"/>
  <c r="K59" i="57"/>
  <c r="L59" i="57" s="1"/>
  <c r="K58" i="57"/>
  <c r="L58" i="57" s="1"/>
  <c r="K57" i="57"/>
  <c r="L57" i="57" s="1"/>
  <c r="K56" i="57"/>
  <c r="L56" i="57" s="1"/>
  <c r="K49" i="57"/>
  <c r="L49" i="57" s="1"/>
  <c r="K48" i="57"/>
  <c r="L48" i="57" s="1"/>
  <c r="K47" i="57"/>
  <c r="L47" i="57" s="1"/>
  <c r="K46" i="57"/>
  <c r="L46" i="57" s="1"/>
  <c r="K45" i="57"/>
  <c r="L45" i="57" s="1"/>
  <c r="K44" i="57"/>
  <c r="L44" i="57" s="1"/>
  <c r="K43" i="57"/>
  <c r="L43" i="57" s="1"/>
  <c r="K42" i="57"/>
  <c r="L42" i="57" s="1"/>
  <c r="K41" i="57"/>
  <c r="L41" i="57" s="1"/>
  <c r="K40" i="57"/>
  <c r="L40" i="57" s="1"/>
  <c r="K39" i="57"/>
  <c r="L39" i="57" s="1"/>
  <c r="K38" i="57"/>
  <c r="L38" i="57" s="1"/>
  <c r="K37" i="57"/>
  <c r="L37" i="57" s="1"/>
  <c r="K36" i="57"/>
  <c r="L36" i="57" s="1"/>
  <c r="K35" i="57"/>
  <c r="L35" i="57" s="1"/>
  <c r="K34" i="57"/>
  <c r="L34" i="57" s="1"/>
  <c r="K33" i="57"/>
  <c r="L33" i="57" s="1"/>
  <c r="K32" i="57"/>
  <c r="L32" i="57" s="1"/>
  <c r="K31" i="57"/>
  <c r="L31" i="57" s="1"/>
  <c r="K30" i="57"/>
  <c r="L30" i="57" s="1"/>
  <c r="K24" i="57"/>
  <c r="L24" i="57" s="1"/>
  <c r="K23" i="57"/>
  <c r="L23" i="57" s="1"/>
  <c r="K22" i="57"/>
  <c r="L22" i="57" s="1"/>
  <c r="K21" i="57"/>
  <c r="L21" i="57" s="1"/>
  <c r="K20" i="57"/>
  <c r="L20" i="57" s="1"/>
  <c r="K19" i="57"/>
  <c r="L19" i="57" s="1"/>
  <c r="K18" i="57"/>
  <c r="L18" i="57" s="1"/>
  <c r="K17" i="57"/>
  <c r="L17" i="57" s="1"/>
  <c r="K16" i="57"/>
  <c r="L16" i="57" s="1"/>
  <c r="K15" i="57"/>
  <c r="L15" i="57" s="1"/>
  <c r="K14" i="57"/>
  <c r="L14" i="57" s="1"/>
  <c r="K13" i="57"/>
  <c r="L13" i="57" s="1"/>
  <c r="K12" i="57"/>
  <c r="L12" i="57" s="1"/>
  <c r="K11" i="57"/>
  <c r="L11" i="57" s="1"/>
  <c r="K10" i="57"/>
  <c r="L10" i="57" s="1"/>
  <c r="K9" i="57"/>
  <c r="L9" i="57" s="1"/>
  <c r="K8" i="57"/>
  <c r="L8" i="57" s="1"/>
  <c r="K7" i="57"/>
  <c r="L7" i="57" s="1"/>
  <c r="K6" i="57"/>
  <c r="L6" i="57" s="1"/>
  <c r="K5" i="57"/>
  <c r="L5" i="57" s="1"/>
  <c r="M141" i="57" l="1"/>
  <c r="L180" i="57"/>
  <c r="M170" i="57"/>
  <c r="K172" i="57" s="1"/>
  <c r="L26" i="57"/>
  <c r="L51" i="57"/>
  <c r="L125" i="57"/>
  <c r="L127" i="57" s="1"/>
  <c r="G15" i="55" l="1"/>
  <c r="G11" i="56" s="1"/>
  <c r="D15" i="55"/>
  <c r="D11" i="56" s="1"/>
  <c r="J159" i="54"/>
  <c r="G23" i="56" l="1"/>
  <c r="G21" i="56"/>
  <c r="G30" i="56"/>
  <c r="D30" i="56"/>
  <c r="G29" i="56"/>
  <c r="D29" i="56"/>
  <c r="G17" i="56"/>
  <c r="D17" i="56"/>
  <c r="H14" i="56"/>
  <c r="F14" i="56"/>
  <c r="D14" i="56"/>
  <c r="G13" i="56"/>
  <c r="D13" i="56"/>
  <c r="H11" i="56"/>
  <c r="H8" i="56"/>
  <c r="D8" i="56"/>
  <c r="G7" i="56"/>
  <c r="D7" i="56"/>
  <c r="G6" i="56"/>
  <c r="H5" i="56"/>
  <c r="G5" i="56"/>
  <c r="D5" i="56"/>
  <c r="H4" i="56"/>
  <c r="D4" i="56"/>
  <c r="G14" i="55" l="1"/>
  <c r="G13" i="55"/>
  <c r="G22" i="56" s="1"/>
  <c r="D13" i="55"/>
  <c r="D22" i="56" s="1"/>
  <c r="G134" i="54"/>
  <c r="D11" i="55" s="1"/>
  <c r="D16" i="56" s="1"/>
  <c r="G11" i="55"/>
  <c r="G16" i="56" s="1"/>
  <c r="G10" i="55"/>
  <c r="G15" i="56" s="1"/>
  <c r="F123" i="54"/>
  <c r="D10" i="55"/>
  <c r="D15" i="56" s="1"/>
  <c r="G8" i="55"/>
  <c r="D8" i="55"/>
  <c r="D18" i="56" s="1"/>
  <c r="F114" i="54"/>
  <c r="H7" i="55"/>
  <c r="H10" i="56" s="1"/>
  <c r="D7" i="55"/>
  <c r="D10" i="56" s="1"/>
  <c r="H6" i="55"/>
  <c r="H9" i="56" s="1"/>
  <c r="D6" i="55"/>
  <c r="D9" i="56" s="1"/>
  <c r="H5" i="55"/>
  <c r="H6" i="56" s="1"/>
  <c r="D5" i="55"/>
  <c r="D6" i="56" s="1"/>
  <c r="D9" i="55"/>
  <c r="H142" i="54"/>
  <c r="F142" i="54"/>
  <c r="G142" i="54"/>
  <c r="G18" i="56" l="1"/>
  <c r="G24" i="56" s="1"/>
  <c r="I24" i="56" s="1"/>
  <c r="G16" i="55"/>
  <c r="H24" i="56"/>
  <c r="H16" i="55"/>
  <c r="K134" i="54"/>
  <c r="J132" i="54"/>
  <c r="K132" i="54" s="1"/>
  <c r="J131" i="54"/>
  <c r="K131" i="54" s="1"/>
  <c r="J130" i="54"/>
  <c r="K130" i="54" s="1"/>
  <c r="J129" i="54"/>
  <c r="K129" i="54" s="1"/>
  <c r="J128" i="54"/>
  <c r="K128" i="54" s="1"/>
  <c r="J121" i="54"/>
  <c r="K121" i="54" s="1"/>
  <c r="J120" i="54"/>
  <c r="K120" i="54" s="1"/>
  <c r="J119" i="54"/>
  <c r="K119" i="54" s="1"/>
  <c r="I16" i="55" l="1"/>
  <c r="I32" i="51" s="1"/>
  <c r="K123" i="54"/>
  <c r="I112" i="54"/>
  <c r="J112" i="54" s="1"/>
  <c r="I111" i="54"/>
  <c r="J111" i="54" s="1"/>
  <c r="I110" i="54"/>
  <c r="J110" i="54" s="1"/>
  <c r="G103" i="54"/>
  <c r="K101" i="54"/>
  <c r="L101" i="54" s="1"/>
  <c r="K100" i="54"/>
  <c r="L100" i="54" s="1"/>
  <c r="K99" i="54"/>
  <c r="L99" i="54" s="1"/>
  <c r="K98" i="54"/>
  <c r="L98" i="54" s="1"/>
  <c r="K97" i="54"/>
  <c r="L97" i="54" s="1"/>
  <c r="K96" i="54"/>
  <c r="L96" i="54" s="1"/>
  <c r="K95" i="54"/>
  <c r="L95" i="54" s="1"/>
  <c r="K94" i="54"/>
  <c r="L94" i="54" s="1"/>
  <c r="K93" i="54"/>
  <c r="L93" i="54" s="1"/>
  <c r="K92" i="54"/>
  <c r="L92" i="54" s="1"/>
  <c r="K91" i="54"/>
  <c r="L91" i="54" s="1"/>
  <c r="K90" i="54"/>
  <c r="L90" i="54" s="1"/>
  <c r="K89" i="54"/>
  <c r="L89" i="54" s="1"/>
  <c r="K88" i="54"/>
  <c r="L88" i="54" s="1"/>
  <c r="K87" i="54"/>
  <c r="L87" i="54" s="1"/>
  <c r="J114" i="54" l="1"/>
  <c r="L103" i="54"/>
  <c r="G81" i="54" l="1"/>
  <c r="J79" i="54"/>
  <c r="K79" i="54" s="1"/>
  <c r="J78" i="54"/>
  <c r="K78" i="54" s="1"/>
  <c r="J77" i="54"/>
  <c r="K77" i="54" s="1"/>
  <c r="J76" i="54"/>
  <c r="K76" i="54" s="1"/>
  <c r="J75" i="54"/>
  <c r="K75" i="54" s="1"/>
  <c r="J74" i="54"/>
  <c r="K74" i="54" s="1"/>
  <c r="J73" i="54"/>
  <c r="K73" i="54" s="1"/>
  <c r="J72" i="54"/>
  <c r="K72" i="54" s="1"/>
  <c r="J71" i="54"/>
  <c r="K71" i="54" s="1"/>
  <c r="J70" i="54"/>
  <c r="K70" i="54" s="1"/>
  <c r="J69" i="54"/>
  <c r="K69" i="54" s="1"/>
  <c r="J68" i="54"/>
  <c r="K68" i="54" s="1"/>
  <c r="J67" i="54"/>
  <c r="K67" i="54" s="1"/>
  <c r="J66" i="54"/>
  <c r="K66" i="54" s="1"/>
  <c r="J65" i="54"/>
  <c r="K65" i="54" s="1"/>
  <c r="J64" i="54"/>
  <c r="K64" i="54" s="1"/>
  <c r="J63" i="54"/>
  <c r="K63" i="54" s="1"/>
  <c r="J62" i="54"/>
  <c r="K62" i="54" s="1"/>
  <c r="J61" i="54"/>
  <c r="K61" i="54" s="1"/>
  <c r="J60" i="54"/>
  <c r="K60" i="54" s="1"/>
  <c r="J59" i="54"/>
  <c r="K59" i="54" s="1"/>
  <c r="J58" i="54"/>
  <c r="K58" i="54" s="1"/>
  <c r="J57" i="54"/>
  <c r="K57" i="54" s="1"/>
  <c r="J56" i="54"/>
  <c r="K56" i="54" s="1"/>
  <c r="J55" i="54"/>
  <c r="K55" i="54" s="1"/>
  <c r="J54" i="54"/>
  <c r="K54" i="54" s="1"/>
  <c r="J53" i="54"/>
  <c r="K53" i="54" s="1"/>
  <c r="J52" i="54"/>
  <c r="K52" i="54" s="1"/>
  <c r="J51" i="54"/>
  <c r="K51" i="54" s="1"/>
  <c r="J50" i="54"/>
  <c r="K50" i="54" s="1"/>
  <c r="J49" i="54"/>
  <c r="K49" i="54" s="1"/>
  <c r="J48" i="54"/>
  <c r="K48" i="54" s="1"/>
  <c r="J47" i="54"/>
  <c r="K47" i="54" s="1"/>
  <c r="J46" i="54"/>
  <c r="K46" i="54" s="1"/>
  <c r="J45" i="54"/>
  <c r="K45" i="54" s="1"/>
  <c r="J44" i="54"/>
  <c r="K44" i="54" s="1"/>
  <c r="J43" i="54" l="1"/>
  <c r="K43" i="54" s="1"/>
  <c r="J42" i="54"/>
  <c r="K42" i="54" s="1"/>
  <c r="J41" i="54"/>
  <c r="K41" i="54" s="1"/>
  <c r="J40" i="54"/>
  <c r="K40" i="54" s="1"/>
  <c r="J39" i="54"/>
  <c r="K39" i="54" s="1"/>
  <c r="J38" i="54"/>
  <c r="K38" i="54" s="1"/>
  <c r="J37" i="54"/>
  <c r="K37" i="54" s="1"/>
  <c r="J36" i="54"/>
  <c r="K36" i="54" s="1"/>
  <c r="K81" i="54" l="1"/>
  <c r="J29" i="54"/>
  <c r="K29" i="54" s="1"/>
  <c r="J28" i="54"/>
  <c r="K28" i="54" s="1"/>
  <c r="J27" i="54"/>
  <c r="K27" i="54" s="1"/>
  <c r="J26" i="54"/>
  <c r="K26" i="54" s="1"/>
  <c r="J25" i="54"/>
  <c r="K25" i="54" s="1"/>
  <c r="J24" i="54"/>
  <c r="K24" i="54" s="1"/>
  <c r="J23" i="54"/>
  <c r="K23" i="54" s="1"/>
  <c r="J22" i="54"/>
  <c r="K22" i="54" s="1"/>
  <c r="O11" i="54"/>
  <c r="N11" i="54"/>
  <c r="J11" i="54"/>
  <c r="K11" i="54" s="1"/>
  <c r="O10" i="54"/>
  <c r="N10" i="54"/>
  <c r="J10" i="54"/>
  <c r="K10" i="54" s="1"/>
  <c r="O9" i="54"/>
  <c r="N9" i="54"/>
  <c r="J9" i="54"/>
  <c r="K9" i="54" s="1"/>
  <c r="O8" i="54"/>
  <c r="N8" i="54"/>
  <c r="J8" i="54"/>
  <c r="K8" i="54" s="1"/>
  <c r="O7" i="54"/>
  <c r="N7" i="54"/>
  <c r="J7" i="54"/>
  <c r="K7" i="54" s="1"/>
  <c r="O6" i="54"/>
  <c r="N6" i="54"/>
  <c r="J6" i="54"/>
  <c r="K6" i="54" s="1"/>
  <c r="O5" i="54"/>
  <c r="N5" i="54"/>
  <c r="J5" i="54"/>
  <c r="K5" i="54" s="1"/>
  <c r="O4" i="54"/>
  <c r="N4" i="54"/>
  <c r="J4" i="54"/>
  <c r="K4" i="54" s="1"/>
  <c r="K14" i="54" l="1"/>
  <c r="P11" i="54"/>
  <c r="Q11" i="54" s="1"/>
  <c r="P5" i="54"/>
  <c r="Q5" i="54" s="1"/>
  <c r="P9" i="54"/>
  <c r="Q9" i="54" s="1"/>
  <c r="K31" i="54"/>
  <c r="P4" i="54"/>
  <c r="Q4" i="54" s="1"/>
  <c r="P10" i="54"/>
  <c r="Q10" i="54" s="1"/>
  <c r="P7" i="54"/>
  <c r="Q7" i="54" s="1"/>
  <c r="P8" i="54"/>
  <c r="Q8" i="54" s="1"/>
  <c r="P6" i="54"/>
  <c r="Q6" i="54" s="1"/>
  <c r="G13" i="51"/>
  <c r="G23" i="51" s="1"/>
  <c r="H13" i="48"/>
  <c r="G13" i="48"/>
  <c r="H13" i="47"/>
  <c r="G13" i="47"/>
  <c r="H13" i="51"/>
  <c r="H18" i="50"/>
  <c r="G18" i="50"/>
  <c r="G17" i="50"/>
  <c r="H17" i="50"/>
  <c r="G13" i="43"/>
  <c r="G12" i="48"/>
  <c r="G12" i="47"/>
  <c r="BC21" i="53"/>
  <c r="BC6" i="53"/>
  <c r="BC13" i="53"/>
  <c r="BC20" i="53"/>
  <c r="BC19" i="53"/>
  <c r="BC18" i="53"/>
  <c r="BC17" i="53"/>
  <c r="BC16" i="53"/>
  <c r="BC15" i="53"/>
  <c r="BC14" i="53"/>
  <c r="BC12" i="53"/>
  <c r="BC11" i="53"/>
  <c r="BC10" i="53"/>
  <c r="BC9" i="53"/>
  <c r="BC8" i="53"/>
  <c r="BC7" i="53"/>
  <c r="BC5" i="53"/>
  <c r="D13" i="51"/>
  <c r="D17" i="50"/>
  <c r="H13" i="43"/>
  <c r="D13" i="43"/>
  <c r="H12" i="48"/>
  <c r="D12" i="48"/>
  <c r="D12" i="47"/>
  <c r="BA13" i="53"/>
  <c r="BA6" i="53"/>
  <c r="BA19" i="53"/>
  <c r="BA18" i="53"/>
  <c r="BA17" i="53"/>
  <c r="BA16" i="53"/>
  <c r="BA15" i="53"/>
  <c r="BA14" i="53"/>
  <c r="BA12" i="53"/>
  <c r="BA11" i="53"/>
  <c r="BA10" i="53"/>
  <c r="BA9" i="53"/>
  <c r="BA8" i="53"/>
  <c r="BA5" i="53"/>
  <c r="AZ5" i="53"/>
  <c r="AZ14" i="53"/>
  <c r="BA7" i="53"/>
  <c r="AZ20" i="53"/>
  <c r="BA20" i="53" s="1"/>
  <c r="BA21" i="53" s="1"/>
  <c r="AZ19" i="53"/>
  <c r="AZ18" i="53"/>
  <c r="AZ17" i="53"/>
  <c r="AZ16" i="53"/>
  <c r="AZ15" i="53"/>
  <c r="AZ13" i="53"/>
  <c r="AZ12" i="53"/>
  <c r="AZ11" i="53"/>
  <c r="AZ10" i="53"/>
  <c r="AZ9" i="53"/>
  <c r="AZ8" i="53"/>
  <c r="AZ7" i="53"/>
  <c r="E6" i="53"/>
  <c r="E13" i="53"/>
  <c r="E21" i="53"/>
  <c r="Q14" i="54" l="1"/>
  <c r="K16" i="54" s="1"/>
  <c r="H23" i="51"/>
  <c r="F10" i="52" l="1"/>
  <c r="H10" i="52" s="1"/>
  <c r="G29" i="51" l="1"/>
  <c r="D29" i="51"/>
  <c r="G28" i="51"/>
  <c r="D28" i="51"/>
  <c r="D4" i="50"/>
  <c r="H7" i="52"/>
  <c r="F6" i="52"/>
  <c r="H6" i="52" s="1"/>
  <c r="F5" i="52"/>
  <c r="H5" i="52" s="1"/>
  <c r="G15" i="43" l="1"/>
  <c r="D8" i="51"/>
  <c r="F16" i="51"/>
  <c r="H9" i="51"/>
  <c r="D9" i="51"/>
  <c r="G25" i="50"/>
  <c r="D25" i="50"/>
  <c r="G224" i="49"/>
  <c r="G24" i="50"/>
  <c r="D24" i="50"/>
  <c r="G12" i="50"/>
  <c r="D12" i="50"/>
  <c r="G14" i="50"/>
  <c r="G18" i="51" s="1"/>
  <c r="D14" i="50"/>
  <c r="D18" i="51" s="1"/>
  <c r="G9" i="50"/>
  <c r="G15" i="51" s="1"/>
  <c r="D9" i="50"/>
  <c r="D15" i="51" s="1"/>
  <c r="H8" i="50"/>
  <c r="H16" i="51" s="1"/>
  <c r="D8" i="50"/>
  <c r="D16" i="51" s="1"/>
  <c r="G13" i="50"/>
  <c r="G17" i="51" s="1"/>
  <c r="D13" i="50"/>
  <c r="D17" i="51" s="1"/>
  <c r="G10" i="50"/>
  <c r="D10" i="50"/>
  <c r="G11" i="50"/>
  <c r="D11" i="50"/>
  <c r="H7" i="50"/>
  <c r="D7" i="50"/>
  <c r="H6" i="50"/>
  <c r="D6" i="50"/>
  <c r="G212" i="49"/>
  <c r="G200" i="49"/>
  <c r="G190" i="49"/>
  <c r="G183" i="49"/>
  <c r="G175" i="49"/>
  <c r="G166" i="49"/>
  <c r="G154" i="49"/>
  <c r="G126" i="49"/>
  <c r="H5" i="50"/>
  <c r="G5" i="50"/>
  <c r="D5" i="50"/>
  <c r="H4" i="50"/>
  <c r="F231" i="49"/>
  <c r="G231" i="49"/>
  <c r="K231" i="49"/>
  <c r="J234" i="49"/>
  <c r="I234" i="49"/>
  <c r="I240" i="49"/>
  <c r="I239" i="49"/>
  <c r="I236" i="49"/>
  <c r="I237" i="49" s="1"/>
  <c r="J237" i="49" s="1"/>
  <c r="K236" i="49"/>
  <c r="K237" i="49" s="1"/>
  <c r="K238" i="49" s="1"/>
  <c r="K239" i="49" s="1"/>
  <c r="K234" i="49"/>
  <c r="K233" i="49"/>
  <c r="K232" i="49"/>
  <c r="E231" i="49"/>
  <c r="E233" i="49"/>
  <c r="G233" i="49"/>
  <c r="G26" i="50" l="1"/>
  <c r="I26" i="50" s="1"/>
  <c r="G22" i="43"/>
  <c r="H22" i="43"/>
  <c r="G55" i="49"/>
  <c r="K226" i="49"/>
  <c r="I18" i="50" l="1"/>
  <c r="K222" i="49"/>
  <c r="K221" i="49"/>
  <c r="K220" i="49"/>
  <c r="K219" i="49"/>
  <c r="K218" i="49"/>
  <c r="K217" i="49"/>
  <c r="G222" i="49"/>
  <c r="G221" i="49"/>
  <c r="G220" i="49"/>
  <c r="G219" i="49"/>
  <c r="G218" i="49"/>
  <c r="G217" i="49"/>
  <c r="K212" i="49"/>
  <c r="K210" i="49"/>
  <c r="J210" i="49"/>
  <c r="J209" i="49"/>
  <c r="K209" i="49" s="1"/>
  <c r="K208" i="49"/>
  <c r="J208" i="49"/>
  <c r="J207" i="49"/>
  <c r="K207" i="49" s="1"/>
  <c r="K206" i="49"/>
  <c r="J206" i="49"/>
  <c r="K205" i="49"/>
  <c r="J205" i="49"/>
  <c r="N88" i="45"/>
  <c r="Q85" i="45"/>
  <c r="O83" i="45"/>
  <c r="P83" i="45" s="1"/>
  <c r="Q83" i="45" s="1"/>
  <c r="N83" i="45"/>
  <c r="O82" i="45"/>
  <c r="P82" i="45" s="1"/>
  <c r="Q82" i="45" s="1"/>
  <c r="N82" i="45"/>
  <c r="O81" i="45"/>
  <c r="P81" i="45" s="1"/>
  <c r="Q81" i="45" s="1"/>
  <c r="N81" i="45"/>
  <c r="O80" i="45"/>
  <c r="P80" i="45" s="1"/>
  <c r="Q80" i="45" s="1"/>
  <c r="N80" i="45"/>
  <c r="O79" i="45"/>
  <c r="P79" i="45" s="1"/>
  <c r="Q79" i="45" s="1"/>
  <c r="N79" i="45"/>
  <c r="O78" i="45"/>
  <c r="P78" i="45" s="1"/>
  <c r="Q78" i="45" s="1"/>
  <c r="N78" i="45"/>
  <c r="K55" i="49"/>
  <c r="K78" i="49"/>
  <c r="K201" i="49"/>
  <c r="K198" i="49"/>
  <c r="J198" i="49"/>
  <c r="J197" i="49"/>
  <c r="K197" i="49" s="1"/>
  <c r="K196" i="49"/>
  <c r="J196" i="49"/>
  <c r="K191" i="49"/>
  <c r="J189" i="49"/>
  <c r="K189" i="49" s="1"/>
  <c r="J188" i="49"/>
  <c r="K188" i="49" s="1"/>
  <c r="K187" i="49"/>
  <c r="J187" i="49"/>
  <c r="K175" i="49"/>
  <c r="K183" i="49"/>
  <c r="J180" i="49"/>
  <c r="K180" i="49" s="1"/>
  <c r="J179" i="49"/>
  <c r="K179" i="49" s="1"/>
  <c r="O72" i="49" l="1"/>
  <c r="P72" i="49" s="1"/>
  <c r="Q72" i="49" s="1"/>
  <c r="N72" i="49"/>
  <c r="O71" i="49"/>
  <c r="P71" i="49" s="1"/>
  <c r="Q71" i="49" s="1"/>
  <c r="N71" i="49"/>
  <c r="P70" i="49"/>
  <c r="Q70" i="49" s="1"/>
  <c r="O70" i="49"/>
  <c r="N70" i="49"/>
  <c r="O69" i="49"/>
  <c r="P69" i="49" s="1"/>
  <c r="Q69" i="49" s="1"/>
  <c r="N69" i="49"/>
  <c r="O68" i="49"/>
  <c r="P68" i="49" s="1"/>
  <c r="Q68" i="49" s="1"/>
  <c r="N68" i="49"/>
  <c r="O67" i="49"/>
  <c r="P67" i="49" s="1"/>
  <c r="Q67" i="49" s="1"/>
  <c r="N67" i="49"/>
  <c r="J173" i="49"/>
  <c r="K173" i="49" s="1"/>
  <c r="J172" i="49"/>
  <c r="K172" i="49" s="1"/>
  <c r="K224" i="49" l="1"/>
  <c r="Q74" i="49"/>
  <c r="J164" i="49"/>
  <c r="K164" i="49" s="1"/>
  <c r="J163" i="49"/>
  <c r="K163" i="49" s="1"/>
  <c r="J162" i="49"/>
  <c r="K162" i="49" s="1"/>
  <c r="K166" i="49" s="1"/>
  <c r="M152" i="49"/>
  <c r="N152" i="49" s="1"/>
  <c r="M151" i="49"/>
  <c r="N151" i="49" s="1"/>
  <c r="M150" i="49"/>
  <c r="N150" i="49" s="1"/>
  <c r="M149" i="49"/>
  <c r="N149" i="49" s="1"/>
  <c r="M148" i="49"/>
  <c r="N148" i="49" s="1"/>
  <c r="M147" i="49"/>
  <c r="N147" i="49" s="1"/>
  <c r="M146" i="49"/>
  <c r="N146" i="49" s="1"/>
  <c r="M145" i="49"/>
  <c r="N145" i="49" s="1"/>
  <c r="M144" i="49"/>
  <c r="N144" i="49" s="1"/>
  <c r="M143" i="49"/>
  <c r="N143" i="49" s="1"/>
  <c r="M142" i="49"/>
  <c r="N142" i="49" s="1"/>
  <c r="M141" i="49"/>
  <c r="N141" i="49" s="1"/>
  <c r="M140" i="49"/>
  <c r="N140" i="49" s="1"/>
  <c r="M139" i="49"/>
  <c r="N139" i="49" s="1"/>
  <c r="M138" i="49"/>
  <c r="N138" i="49" s="1"/>
  <c r="M137" i="49"/>
  <c r="N137" i="49" s="1"/>
  <c r="M136" i="49"/>
  <c r="N136" i="49" s="1"/>
  <c r="M135" i="49"/>
  <c r="N135" i="49" s="1"/>
  <c r="M134" i="49"/>
  <c r="N134" i="49" s="1"/>
  <c r="M133" i="49"/>
  <c r="N133" i="49" s="1"/>
  <c r="M132" i="49"/>
  <c r="N132" i="49" s="1"/>
  <c r="M131" i="49"/>
  <c r="N131" i="49" s="1"/>
  <c r="J132" i="49"/>
  <c r="K132" i="49" s="1"/>
  <c r="J133" i="49"/>
  <c r="K133" i="49" s="1"/>
  <c r="J134" i="49"/>
  <c r="K134" i="49" s="1"/>
  <c r="J135" i="49"/>
  <c r="K135" i="49" s="1"/>
  <c r="J136" i="49"/>
  <c r="K136" i="49" s="1"/>
  <c r="J137" i="49"/>
  <c r="K137" i="49" s="1"/>
  <c r="J138" i="49"/>
  <c r="K138" i="49" s="1"/>
  <c r="J139" i="49"/>
  <c r="K139" i="49" s="1"/>
  <c r="J140" i="49"/>
  <c r="K140" i="49" s="1"/>
  <c r="J141" i="49"/>
  <c r="K141" i="49" s="1"/>
  <c r="J142" i="49"/>
  <c r="K142" i="49" s="1"/>
  <c r="J143" i="49"/>
  <c r="K143" i="49" s="1"/>
  <c r="J144" i="49"/>
  <c r="K144" i="49" s="1"/>
  <c r="J145" i="49"/>
  <c r="K145" i="49" s="1"/>
  <c r="J146" i="49"/>
  <c r="K146" i="49" s="1"/>
  <c r="J147" i="49"/>
  <c r="K147" i="49" s="1"/>
  <c r="J148" i="49"/>
  <c r="K148" i="49" s="1"/>
  <c r="J149" i="49"/>
  <c r="K149" i="49" s="1"/>
  <c r="J150" i="49"/>
  <c r="K150" i="49" s="1"/>
  <c r="J151" i="49"/>
  <c r="K151" i="49" s="1"/>
  <c r="J152" i="49"/>
  <c r="K152" i="49" s="1"/>
  <c r="J131" i="49"/>
  <c r="K131" i="49" s="1"/>
  <c r="N154" i="49" l="1"/>
  <c r="K154" i="49"/>
  <c r="K156" i="49" l="1"/>
  <c r="J123" i="49" l="1"/>
  <c r="K123" i="49" s="1"/>
  <c r="J84" i="49"/>
  <c r="K84" i="49" s="1"/>
  <c r="J100" i="49"/>
  <c r="K100" i="49" s="1"/>
  <c r="J97" i="49"/>
  <c r="K97" i="49" s="1"/>
  <c r="J122" i="49"/>
  <c r="K122" i="49" s="1"/>
  <c r="J121" i="49"/>
  <c r="K121" i="49" s="1"/>
  <c r="J120" i="49"/>
  <c r="K120" i="49" s="1"/>
  <c r="J119" i="49"/>
  <c r="K119" i="49" s="1"/>
  <c r="J118" i="49"/>
  <c r="K118" i="49" s="1"/>
  <c r="J117" i="49"/>
  <c r="K117" i="49" s="1"/>
  <c r="J116" i="49"/>
  <c r="K116" i="49" s="1"/>
  <c r="J115" i="49"/>
  <c r="K115" i="49" s="1"/>
  <c r="J114" i="49"/>
  <c r="K114" i="49" s="1"/>
  <c r="J113" i="49"/>
  <c r="K113" i="49" s="1"/>
  <c r="J112" i="49"/>
  <c r="K112" i="49" s="1"/>
  <c r="J111" i="49"/>
  <c r="K111" i="49" s="1"/>
  <c r="J110" i="49"/>
  <c r="K110" i="49" s="1"/>
  <c r="J109" i="49"/>
  <c r="K109" i="49" s="1"/>
  <c r="J108" i="49"/>
  <c r="K108" i="49" s="1"/>
  <c r="J107" i="49"/>
  <c r="K107" i="49" s="1"/>
  <c r="J106" i="49"/>
  <c r="K106" i="49" s="1"/>
  <c r="J105" i="49"/>
  <c r="K105" i="49" s="1"/>
  <c r="J104" i="49"/>
  <c r="K104" i="49" s="1"/>
  <c r="J103" i="49"/>
  <c r="K103" i="49" s="1"/>
  <c r="J102" i="49"/>
  <c r="K102" i="49" s="1"/>
  <c r="J101" i="49"/>
  <c r="K101" i="49" s="1"/>
  <c r="J99" i="49"/>
  <c r="K99" i="49" s="1"/>
  <c r="J98" i="49"/>
  <c r="K98" i="49" s="1"/>
  <c r="J96" i="49"/>
  <c r="K96" i="49" s="1"/>
  <c r="J95" i="49"/>
  <c r="K95" i="49" s="1"/>
  <c r="J94" i="49"/>
  <c r="K94" i="49" s="1"/>
  <c r="J93" i="49"/>
  <c r="K93" i="49" s="1"/>
  <c r="J92" i="49"/>
  <c r="K92" i="49" s="1"/>
  <c r="J91" i="49"/>
  <c r="K91" i="49" s="1"/>
  <c r="J90" i="49"/>
  <c r="K90" i="49" s="1"/>
  <c r="J89" i="49"/>
  <c r="K89" i="49" s="1"/>
  <c r="J88" i="49"/>
  <c r="K88" i="49" s="1"/>
  <c r="J87" i="49"/>
  <c r="K87" i="49" s="1"/>
  <c r="J86" i="49"/>
  <c r="K86" i="49" s="1"/>
  <c r="J85" i="49"/>
  <c r="K85" i="49" s="1"/>
  <c r="J67" i="49"/>
  <c r="K126" i="49" l="1"/>
  <c r="O20" i="49"/>
  <c r="N20" i="49"/>
  <c r="O19" i="49"/>
  <c r="N19" i="49"/>
  <c r="O46" i="49"/>
  <c r="N46" i="49"/>
  <c r="O45" i="49"/>
  <c r="N45" i="49"/>
  <c r="O44" i="49"/>
  <c r="N44" i="49"/>
  <c r="O43" i="49"/>
  <c r="N43" i="49"/>
  <c r="O42" i="49"/>
  <c r="N42" i="49"/>
  <c r="O41" i="49"/>
  <c r="N41" i="49"/>
  <c r="O40" i="49"/>
  <c r="N40" i="49"/>
  <c r="O39" i="49"/>
  <c r="N39" i="49"/>
  <c r="O38" i="49"/>
  <c r="N38" i="49"/>
  <c r="O37" i="49"/>
  <c r="N37" i="49"/>
  <c r="O36" i="49"/>
  <c r="N36" i="49"/>
  <c r="O35" i="49"/>
  <c r="N35" i="49"/>
  <c r="O34" i="49"/>
  <c r="N34" i="49"/>
  <c r="O33" i="49"/>
  <c r="N33" i="49"/>
  <c r="O32" i="49"/>
  <c r="N32" i="49"/>
  <c r="O31" i="49"/>
  <c r="N31" i="49"/>
  <c r="O24" i="49"/>
  <c r="N24" i="49"/>
  <c r="O23" i="49"/>
  <c r="N23" i="49"/>
  <c r="O22" i="49"/>
  <c r="N22" i="49"/>
  <c r="O21" i="49"/>
  <c r="N21" i="49"/>
  <c r="O18" i="49"/>
  <c r="N18" i="49"/>
  <c r="O17" i="49"/>
  <c r="N17" i="49"/>
  <c r="O16" i="49"/>
  <c r="N16" i="49"/>
  <c r="O15" i="49"/>
  <c r="N15" i="49"/>
  <c r="O14" i="49"/>
  <c r="N14" i="49"/>
  <c r="O13" i="49"/>
  <c r="N13" i="49"/>
  <c r="O12" i="49"/>
  <c r="N12" i="49"/>
  <c r="O11" i="49"/>
  <c r="N11" i="49"/>
  <c r="O10" i="49"/>
  <c r="N10" i="49"/>
  <c r="O9" i="49"/>
  <c r="N9" i="49"/>
  <c r="O8" i="49"/>
  <c r="N8" i="49"/>
  <c r="O7" i="49"/>
  <c r="N7" i="49"/>
  <c r="O49" i="49"/>
  <c r="N49" i="49"/>
  <c r="O48" i="49"/>
  <c r="N48" i="49"/>
  <c r="O47" i="49"/>
  <c r="N47" i="49"/>
  <c r="O30" i="49"/>
  <c r="N30" i="49"/>
  <c r="O29" i="49"/>
  <c r="N29" i="49"/>
  <c r="O28" i="49"/>
  <c r="N28" i="49"/>
  <c r="O27" i="49"/>
  <c r="N27" i="49"/>
  <c r="O26" i="49"/>
  <c r="N26" i="49"/>
  <c r="O25" i="49"/>
  <c r="N25" i="49"/>
  <c r="O6" i="49"/>
  <c r="N6" i="49"/>
  <c r="O5" i="49"/>
  <c r="N5" i="49"/>
  <c r="O4" i="49"/>
  <c r="N4" i="49"/>
  <c r="O3" i="49"/>
  <c r="N3" i="49"/>
  <c r="O2" i="49"/>
  <c r="N2" i="49"/>
  <c r="J49" i="49"/>
  <c r="K49" i="49" s="1"/>
  <c r="J48" i="49"/>
  <c r="K48" i="49" s="1"/>
  <c r="J47" i="49"/>
  <c r="K47" i="49" s="1"/>
  <c r="J46" i="49"/>
  <c r="K46" i="49" s="1"/>
  <c r="J45" i="49"/>
  <c r="K45" i="49" s="1"/>
  <c r="J44" i="49"/>
  <c r="K44" i="49" s="1"/>
  <c r="J43" i="49"/>
  <c r="K43" i="49" s="1"/>
  <c r="J42" i="49"/>
  <c r="K42" i="49" s="1"/>
  <c r="J41" i="49"/>
  <c r="K41" i="49" s="1"/>
  <c r="J40" i="49"/>
  <c r="K40" i="49" s="1"/>
  <c r="J39" i="49"/>
  <c r="K39" i="49" s="1"/>
  <c r="J38" i="49"/>
  <c r="K38" i="49" s="1"/>
  <c r="J37" i="49"/>
  <c r="K37" i="49" s="1"/>
  <c r="J36" i="49"/>
  <c r="K36" i="49" s="1"/>
  <c r="J35" i="49"/>
  <c r="K35" i="49" s="1"/>
  <c r="J34" i="49"/>
  <c r="K34" i="49" s="1"/>
  <c r="J33" i="49"/>
  <c r="K33" i="49" s="1"/>
  <c r="J32" i="49"/>
  <c r="K32" i="49" s="1"/>
  <c r="J31" i="49"/>
  <c r="K31" i="49" s="1"/>
  <c r="J30" i="49"/>
  <c r="K30" i="49" s="1"/>
  <c r="J29" i="49"/>
  <c r="K29" i="49" s="1"/>
  <c r="J28" i="49"/>
  <c r="K28" i="49" s="1"/>
  <c r="J27" i="49"/>
  <c r="K27" i="49" s="1"/>
  <c r="J26" i="49"/>
  <c r="K26" i="49" s="1"/>
  <c r="J25" i="49"/>
  <c r="K25" i="49" s="1"/>
  <c r="J24" i="49"/>
  <c r="K24" i="49" s="1"/>
  <c r="J23" i="49"/>
  <c r="K23" i="49" s="1"/>
  <c r="J22" i="49"/>
  <c r="K22" i="49" s="1"/>
  <c r="J21" i="49"/>
  <c r="K21" i="49" s="1"/>
  <c r="J20" i="49"/>
  <c r="K20" i="49" s="1"/>
  <c r="J19" i="49"/>
  <c r="K19" i="49" s="1"/>
  <c r="J18" i="49"/>
  <c r="K18" i="49" s="1"/>
  <c r="J17" i="49"/>
  <c r="K17" i="49" s="1"/>
  <c r="J16" i="49"/>
  <c r="K16" i="49" s="1"/>
  <c r="J15" i="49"/>
  <c r="K15" i="49" s="1"/>
  <c r="J14" i="49"/>
  <c r="K14" i="49" s="1"/>
  <c r="J13" i="49"/>
  <c r="K13" i="49" s="1"/>
  <c r="J12" i="49"/>
  <c r="K12" i="49" s="1"/>
  <c r="J11" i="49"/>
  <c r="K11" i="49" s="1"/>
  <c r="J10" i="49"/>
  <c r="K10" i="49" s="1"/>
  <c r="J9" i="49"/>
  <c r="K9" i="49" s="1"/>
  <c r="J8" i="49"/>
  <c r="K8" i="49" s="1"/>
  <c r="J7" i="49"/>
  <c r="K7" i="49" s="1"/>
  <c r="J6" i="49"/>
  <c r="K6" i="49" s="1"/>
  <c r="J5" i="49"/>
  <c r="K5" i="49" s="1"/>
  <c r="J4" i="49"/>
  <c r="K4" i="49" s="1"/>
  <c r="J3" i="49"/>
  <c r="K3" i="49" s="1"/>
  <c r="J2" i="49"/>
  <c r="K2" i="49" s="1"/>
  <c r="P4" i="49" l="1"/>
  <c r="Q4" i="49" s="1"/>
  <c r="P6" i="49"/>
  <c r="Q6" i="49" s="1"/>
  <c r="P26" i="49"/>
  <c r="Q26" i="49" s="1"/>
  <c r="P28" i="49"/>
  <c r="Q28" i="49" s="1"/>
  <c r="P30" i="49"/>
  <c r="Q30" i="49" s="1"/>
  <c r="P48" i="49"/>
  <c r="Q48" i="49" s="1"/>
  <c r="P7" i="49"/>
  <c r="Q7" i="49" s="1"/>
  <c r="P9" i="49"/>
  <c r="Q9" i="49" s="1"/>
  <c r="P11" i="49"/>
  <c r="Q11" i="49" s="1"/>
  <c r="P13" i="49"/>
  <c r="Q13" i="49" s="1"/>
  <c r="P15" i="49"/>
  <c r="Q15" i="49" s="1"/>
  <c r="P17" i="49"/>
  <c r="Q17" i="49" s="1"/>
  <c r="P33" i="49"/>
  <c r="Q33" i="49" s="1"/>
  <c r="P22" i="49"/>
  <c r="Q22" i="49" s="1"/>
  <c r="P24" i="49"/>
  <c r="Q24" i="49" s="1"/>
  <c r="K52" i="49"/>
  <c r="P38" i="49"/>
  <c r="Q38" i="49" s="1"/>
  <c r="P40" i="49"/>
  <c r="Q40" i="49" s="1"/>
  <c r="P42" i="49"/>
  <c r="Q42" i="49" s="1"/>
  <c r="P44" i="49"/>
  <c r="Q44" i="49" s="1"/>
  <c r="P46" i="49"/>
  <c r="Q46" i="49" s="1"/>
  <c r="P20" i="49"/>
  <c r="Q20" i="49" s="1"/>
  <c r="P2" i="49"/>
  <c r="Q2" i="49" s="1"/>
  <c r="P35" i="49"/>
  <c r="Q35" i="49" s="1"/>
  <c r="P37" i="49"/>
  <c r="Q37" i="49" s="1"/>
  <c r="P41" i="49"/>
  <c r="Q41" i="49" s="1"/>
  <c r="P31" i="49"/>
  <c r="Q31" i="49" s="1"/>
  <c r="P32" i="49"/>
  <c r="Q32" i="49" s="1"/>
  <c r="P39" i="49"/>
  <c r="Q39" i="49" s="1"/>
  <c r="P34" i="49"/>
  <c r="Q34" i="49" s="1"/>
  <c r="P36" i="49"/>
  <c r="Q36" i="49" s="1"/>
  <c r="P43" i="49"/>
  <c r="Q43" i="49" s="1"/>
  <c r="P45" i="49"/>
  <c r="Q45" i="49" s="1"/>
  <c r="P19" i="49"/>
  <c r="Q19" i="49" s="1"/>
  <c r="P3" i="49"/>
  <c r="Q3" i="49" s="1"/>
  <c r="P5" i="49"/>
  <c r="Q5" i="49" s="1"/>
  <c r="P25" i="49"/>
  <c r="Q25" i="49" s="1"/>
  <c r="P27" i="49"/>
  <c r="Q27" i="49" s="1"/>
  <c r="P29" i="49"/>
  <c r="Q29" i="49" s="1"/>
  <c r="P47" i="49"/>
  <c r="Q47" i="49" s="1"/>
  <c r="P49" i="49"/>
  <c r="Q49" i="49" s="1"/>
  <c r="P8" i="49"/>
  <c r="Q8" i="49" s="1"/>
  <c r="P10" i="49"/>
  <c r="Q10" i="49" s="1"/>
  <c r="P12" i="49"/>
  <c r="Q12" i="49" s="1"/>
  <c r="P14" i="49"/>
  <c r="Q14" i="49" s="1"/>
  <c r="P16" i="49"/>
  <c r="Q16" i="49" s="1"/>
  <c r="P18" i="49"/>
  <c r="Q18" i="49" s="1"/>
  <c r="P21" i="49"/>
  <c r="Q21" i="49" s="1"/>
  <c r="P23" i="49"/>
  <c r="Q23" i="49" s="1"/>
  <c r="Q52" i="49" l="1"/>
  <c r="E79" i="49" l="1"/>
  <c r="G74" i="49"/>
  <c r="E76" i="49" s="1"/>
  <c r="J72" i="49"/>
  <c r="K72" i="49" s="1"/>
  <c r="J71" i="49"/>
  <c r="K71" i="49" s="1"/>
  <c r="J70" i="49"/>
  <c r="K70" i="49" s="1"/>
  <c r="J69" i="49"/>
  <c r="K69" i="49" s="1"/>
  <c r="J68" i="49"/>
  <c r="K68" i="49" s="1"/>
  <c r="K67" i="49"/>
  <c r="E80" i="49" l="1"/>
  <c r="K74" i="49"/>
  <c r="H9" i="43"/>
  <c r="D9" i="43"/>
  <c r="D5" i="48"/>
  <c r="G11" i="48"/>
  <c r="G8" i="43" s="1"/>
  <c r="G8" i="51" s="1"/>
  <c r="D11" i="48"/>
  <c r="H11" i="48"/>
  <c r="G9" i="48"/>
  <c r="D9" i="48"/>
  <c r="G10" i="48"/>
  <c r="D10" i="48"/>
  <c r="D18" i="43" s="1"/>
  <c r="G211" i="45"/>
  <c r="G209" i="45"/>
  <c r="F211" i="45"/>
  <c r="D7" i="48"/>
  <c r="H6" i="48"/>
  <c r="D6" i="48"/>
  <c r="H5" i="48"/>
  <c r="G5" i="48"/>
  <c r="E91" i="45"/>
  <c r="E90" i="45"/>
  <c r="E87" i="45"/>
  <c r="G4" i="48"/>
  <c r="G69" i="45"/>
  <c r="G72" i="45"/>
  <c r="G73" i="45" s="1"/>
  <c r="D4" i="48"/>
  <c r="G10" i="47"/>
  <c r="D10" i="47"/>
  <c r="D19" i="51" s="1"/>
  <c r="J364" i="46"/>
  <c r="E364" i="46"/>
  <c r="F14" i="46"/>
  <c r="D4" i="47" s="1"/>
  <c r="D4" i="51" s="1"/>
  <c r="E361" i="46"/>
  <c r="E339" i="46"/>
  <c r="G359" i="46"/>
  <c r="I359" i="46" s="1"/>
  <c r="J359" i="46" s="1"/>
  <c r="G358" i="46"/>
  <c r="I358" i="46" s="1"/>
  <c r="J358" i="46" s="1"/>
  <c r="G357" i="46"/>
  <c r="I357" i="46" s="1"/>
  <c r="J357" i="46" s="1"/>
  <c r="G356" i="46"/>
  <c r="I356" i="46" s="1"/>
  <c r="J356" i="46" s="1"/>
  <c r="G355" i="46"/>
  <c r="I355" i="46" s="1"/>
  <c r="J355" i="46" s="1"/>
  <c r="G354" i="46"/>
  <c r="I354" i="46" s="1"/>
  <c r="J354" i="46" s="1"/>
  <c r="G353" i="46"/>
  <c r="I353" i="46" s="1"/>
  <c r="J353" i="46" s="1"/>
  <c r="G352" i="46"/>
  <c r="I352" i="46" s="1"/>
  <c r="J352" i="46" s="1"/>
  <c r="G351" i="46"/>
  <c r="I351" i="46" s="1"/>
  <c r="J351" i="46" s="1"/>
  <c r="G350" i="46"/>
  <c r="I350" i="46" s="1"/>
  <c r="J350" i="46" s="1"/>
  <c r="G349" i="46"/>
  <c r="I349" i="46" s="1"/>
  <c r="J349" i="46" s="1"/>
  <c r="G348" i="46"/>
  <c r="I348" i="46" s="1"/>
  <c r="J348" i="46" s="1"/>
  <c r="G347" i="46"/>
  <c r="I347" i="46" s="1"/>
  <c r="J347" i="46" s="1"/>
  <c r="G346" i="46"/>
  <c r="I346" i="46" s="1"/>
  <c r="J346" i="46" s="1"/>
  <c r="G345" i="46"/>
  <c r="I345" i="46" s="1"/>
  <c r="J345" i="46" s="1"/>
  <c r="G344" i="46"/>
  <c r="I344" i="46" s="1"/>
  <c r="J344" i="46" s="1"/>
  <c r="G338" i="46"/>
  <c r="I338" i="46" s="1"/>
  <c r="J338" i="46" s="1"/>
  <c r="G337" i="46"/>
  <c r="I337" i="46" s="1"/>
  <c r="J337" i="46" s="1"/>
  <c r="G336" i="46"/>
  <c r="I336" i="46" s="1"/>
  <c r="J336" i="46" s="1"/>
  <c r="G335" i="46"/>
  <c r="I335" i="46" s="1"/>
  <c r="J335" i="46" s="1"/>
  <c r="G334" i="46"/>
  <c r="I334" i="46" s="1"/>
  <c r="J334" i="46" s="1"/>
  <c r="G333" i="46"/>
  <c r="I333" i="46" s="1"/>
  <c r="J333" i="46" s="1"/>
  <c r="G332" i="46"/>
  <c r="I332" i="46" s="1"/>
  <c r="J332" i="46" s="1"/>
  <c r="G331" i="46"/>
  <c r="I331" i="46" s="1"/>
  <c r="J331" i="46" s="1"/>
  <c r="G330" i="46"/>
  <c r="I330" i="46" s="1"/>
  <c r="J330" i="46" s="1"/>
  <c r="G329" i="46"/>
  <c r="I329" i="46" s="1"/>
  <c r="J329" i="46" s="1"/>
  <c r="G328" i="46"/>
  <c r="I328" i="46" s="1"/>
  <c r="J328" i="46" s="1"/>
  <c r="G327" i="46"/>
  <c r="I327" i="46" s="1"/>
  <c r="J327" i="46" s="1"/>
  <c r="G326" i="46"/>
  <c r="I326" i="46" s="1"/>
  <c r="J326" i="46" s="1"/>
  <c r="G325" i="46"/>
  <c r="I325" i="46" s="1"/>
  <c r="J325" i="46" s="1"/>
  <c r="G324" i="46"/>
  <c r="I324" i="46" s="1"/>
  <c r="J324" i="46" s="1"/>
  <c r="G323" i="46"/>
  <c r="I323" i="46" s="1"/>
  <c r="J323" i="46" s="1"/>
  <c r="G322" i="46"/>
  <c r="I322" i="46" s="1"/>
  <c r="J322" i="46" s="1"/>
  <c r="G321" i="46"/>
  <c r="I321" i="46" s="1"/>
  <c r="J321" i="46" s="1"/>
  <c r="G320" i="46"/>
  <c r="I320" i="46" s="1"/>
  <c r="J320" i="46" s="1"/>
  <c r="G319" i="46"/>
  <c r="I319" i="46" s="1"/>
  <c r="J319" i="46" s="1"/>
  <c r="G318" i="46"/>
  <c r="I318" i="46" s="1"/>
  <c r="J318" i="46" s="1"/>
  <c r="G317" i="46"/>
  <c r="I317" i="46" s="1"/>
  <c r="J317" i="46" s="1"/>
  <c r="G316" i="46"/>
  <c r="I316" i="46" s="1"/>
  <c r="J316" i="46" s="1"/>
  <c r="G315" i="46"/>
  <c r="I315" i="46" s="1"/>
  <c r="J315" i="46" s="1"/>
  <c r="G314" i="46"/>
  <c r="I314" i="46" s="1"/>
  <c r="J314" i="46" s="1"/>
  <c r="G313" i="46"/>
  <c r="I313" i="46" s="1"/>
  <c r="J313" i="46" s="1"/>
  <c r="G312" i="46"/>
  <c r="I312" i="46" s="1"/>
  <c r="J312" i="46" s="1"/>
  <c r="G311" i="46"/>
  <c r="I311" i="46" s="1"/>
  <c r="J311" i="46" s="1"/>
  <c r="G310" i="46"/>
  <c r="I310" i="46" s="1"/>
  <c r="J310" i="46" s="1"/>
  <c r="G309" i="46"/>
  <c r="I309" i="46" s="1"/>
  <c r="J309" i="46" s="1"/>
  <c r="G308" i="46"/>
  <c r="I308" i="46" s="1"/>
  <c r="J308" i="46" s="1"/>
  <c r="G307" i="46"/>
  <c r="I307" i="46" s="1"/>
  <c r="J307" i="46" s="1"/>
  <c r="G306" i="46"/>
  <c r="I306" i="46" s="1"/>
  <c r="J306" i="46" s="1"/>
  <c r="G305" i="46"/>
  <c r="I305" i="46" s="1"/>
  <c r="J305" i="46" s="1"/>
  <c r="G304" i="46"/>
  <c r="I304" i="46" s="1"/>
  <c r="J304" i="46" s="1"/>
  <c r="G303" i="46"/>
  <c r="I303" i="46" s="1"/>
  <c r="J303" i="46" s="1"/>
  <c r="G302" i="46"/>
  <c r="I302" i="46" s="1"/>
  <c r="J302" i="46" s="1"/>
  <c r="G301" i="46"/>
  <c r="I301" i="46" s="1"/>
  <c r="J301" i="46" s="1"/>
  <c r="G300" i="46"/>
  <c r="I300" i="46" s="1"/>
  <c r="J300" i="46" s="1"/>
  <c r="G299" i="46"/>
  <c r="I299" i="46" s="1"/>
  <c r="J299" i="46" s="1"/>
  <c r="G298" i="46"/>
  <c r="I298" i="46" s="1"/>
  <c r="J298" i="46" s="1"/>
  <c r="G297" i="46"/>
  <c r="I297" i="46" s="1"/>
  <c r="J297" i="46" s="1"/>
  <c r="G296" i="46"/>
  <c r="I296" i="46" s="1"/>
  <c r="J296" i="46" s="1"/>
  <c r="G295" i="46"/>
  <c r="I295" i="46" s="1"/>
  <c r="J295" i="46" s="1"/>
  <c r="G294" i="46"/>
  <c r="I294" i="46" s="1"/>
  <c r="J294" i="46" s="1"/>
  <c r="G293" i="46"/>
  <c r="I293" i="46" s="1"/>
  <c r="J293" i="46" s="1"/>
  <c r="G292" i="46"/>
  <c r="I292" i="46" s="1"/>
  <c r="J292" i="46" s="1"/>
  <c r="G291" i="46"/>
  <c r="I291" i="46" s="1"/>
  <c r="J291" i="46" s="1"/>
  <c r="G290" i="46"/>
  <c r="I290" i="46" s="1"/>
  <c r="J290" i="46" s="1"/>
  <c r="G289" i="46"/>
  <c r="I289" i="46" s="1"/>
  <c r="J289" i="46" s="1"/>
  <c r="G288" i="46"/>
  <c r="I288" i="46" s="1"/>
  <c r="J288" i="46" s="1"/>
  <c r="G287" i="46"/>
  <c r="I287" i="46" s="1"/>
  <c r="J287" i="46" s="1"/>
  <c r="G286" i="46"/>
  <c r="I286" i="46" s="1"/>
  <c r="J286" i="46" s="1"/>
  <c r="G285" i="46"/>
  <c r="I285" i="46" s="1"/>
  <c r="J285" i="46" s="1"/>
  <c r="G284" i="46"/>
  <c r="I284" i="46" s="1"/>
  <c r="J284" i="46" s="1"/>
  <c r="G283" i="46"/>
  <c r="I283" i="46" s="1"/>
  <c r="J283" i="46" s="1"/>
  <c r="G282" i="46"/>
  <c r="I282" i="46" s="1"/>
  <c r="J282" i="46" s="1"/>
  <c r="G281" i="46"/>
  <c r="I281" i="46" s="1"/>
  <c r="J281" i="46" s="1"/>
  <c r="G280" i="46"/>
  <c r="I280" i="46" s="1"/>
  <c r="J280" i="46" s="1"/>
  <c r="G279" i="46"/>
  <c r="I279" i="46" s="1"/>
  <c r="J279" i="46" s="1"/>
  <c r="G278" i="46"/>
  <c r="I278" i="46" s="1"/>
  <c r="J278" i="46" s="1"/>
  <c r="G277" i="46"/>
  <c r="I277" i="46" s="1"/>
  <c r="J277" i="46" s="1"/>
  <c r="G276" i="46"/>
  <c r="I276" i="46" s="1"/>
  <c r="J276" i="46" s="1"/>
  <c r="G275" i="46"/>
  <c r="I275" i="46" s="1"/>
  <c r="J275" i="46" s="1"/>
  <c r="G274" i="46"/>
  <c r="I274" i="46" s="1"/>
  <c r="J274" i="46" s="1"/>
  <c r="G273" i="46"/>
  <c r="I273" i="46" s="1"/>
  <c r="J273" i="46" s="1"/>
  <c r="G272" i="46"/>
  <c r="I272" i="46" s="1"/>
  <c r="J272" i="46" s="1"/>
  <c r="G271" i="46"/>
  <c r="I271" i="46" s="1"/>
  <c r="J271" i="46" s="1"/>
  <c r="G270" i="46"/>
  <c r="I270" i="46" s="1"/>
  <c r="J270" i="46" s="1"/>
  <c r="G269" i="46"/>
  <c r="I269" i="46" s="1"/>
  <c r="J269" i="46" s="1"/>
  <c r="G268" i="46"/>
  <c r="I268" i="46" s="1"/>
  <c r="J268" i="46" s="1"/>
  <c r="G267" i="46"/>
  <c r="I267" i="46" s="1"/>
  <c r="J267" i="46" s="1"/>
  <c r="G266" i="46"/>
  <c r="I266" i="46" s="1"/>
  <c r="J266" i="46" s="1"/>
  <c r="G265" i="46"/>
  <c r="I265" i="46" s="1"/>
  <c r="J265" i="46" s="1"/>
  <c r="G264" i="46"/>
  <c r="I264" i="46" s="1"/>
  <c r="J264" i="46" s="1"/>
  <c r="G263" i="46"/>
  <c r="I263" i="46" s="1"/>
  <c r="J263" i="46" s="1"/>
  <c r="G262" i="46"/>
  <c r="I262" i="46" s="1"/>
  <c r="J262" i="46" s="1"/>
  <c r="G261" i="46"/>
  <c r="I261" i="46" s="1"/>
  <c r="J261" i="46" s="1"/>
  <c r="G260" i="46"/>
  <c r="I260" i="46" s="1"/>
  <c r="J260" i="46" s="1"/>
  <c r="G259" i="46"/>
  <c r="I259" i="46" s="1"/>
  <c r="J259" i="46" s="1"/>
  <c r="G258" i="46"/>
  <c r="I258" i="46" s="1"/>
  <c r="J258" i="46" s="1"/>
  <c r="G257" i="46"/>
  <c r="I257" i="46" s="1"/>
  <c r="J257" i="46" s="1"/>
  <c r="G256" i="46"/>
  <c r="I256" i="46" s="1"/>
  <c r="J256" i="46" s="1"/>
  <c r="G255" i="46"/>
  <c r="I255" i="46" s="1"/>
  <c r="J255" i="46" s="1"/>
  <c r="G254" i="46"/>
  <c r="I254" i="46" s="1"/>
  <c r="J254" i="46" s="1"/>
  <c r="G253" i="46"/>
  <c r="I253" i="46" s="1"/>
  <c r="J253" i="46" s="1"/>
  <c r="G252" i="46"/>
  <c r="I252" i="46" s="1"/>
  <c r="J252" i="46" s="1"/>
  <c r="E247" i="46"/>
  <c r="D7" i="47" s="1"/>
  <c r="N246" i="46"/>
  <c r="K246" i="46"/>
  <c r="J246" i="46"/>
  <c r="N245" i="46"/>
  <c r="K245" i="46"/>
  <c r="J245" i="46"/>
  <c r="I214" i="46"/>
  <c r="J214" i="46" s="1"/>
  <c r="I213" i="46"/>
  <c r="J213" i="46" s="1"/>
  <c r="I212" i="46"/>
  <c r="J212" i="46" s="1"/>
  <c r="I211" i="46"/>
  <c r="J211" i="46" s="1"/>
  <c r="I210" i="46"/>
  <c r="J210" i="46" s="1"/>
  <c r="I209" i="46"/>
  <c r="J209" i="46" s="1"/>
  <c r="I208" i="46"/>
  <c r="J208" i="46" s="1"/>
  <c r="I207" i="46"/>
  <c r="J207" i="46" s="1"/>
  <c r="I206" i="46"/>
  <c r="J206" i="46" s="1"/>
  <c r="I205" i="46"/>
  <c r="J205" i="46" s="1"/>
  <c r="I204" i="46"/>
  <c r="J204" i="46" s="1"/>
  <c r="I203" i="46"/>
  <c r="J203" i="46" s="1"/>
  <c r="I202" i="46"/>
  <c r="J202" i="46" s="1"/>
  <c r="I201" i="46"/>
  <c r="J201" i="46" s="1"/>
  <c r="I200" i="46"/>
  <c r="J200" i="46" s="1"/>
  <c r="E239" i="46"/>
  <c r="H237" i="46"/>
  <c r="I237" i="46" s="1"/>
  <c r="H236" i="46"/>
  <c r="I236" i="46" s="1"/>
  <c r="H235" i="46"/>
  <c r="I235" i="46" s="1"/>
  <c r="H234" i="46"/>
  <c r="I234" i="46" s="1"/>
  <c r="H233" i="46"/>
  <c r="I233" i="46" s="1"/>
  <c r="H232" i="46"/>
  <c r="I232" i="46" s="1"/>
  <c r="H231" i="46"/>
  <c r="I231" i="46" s="1"/>
  <c r="H230" i="46"/>
  <c r="I230" i="46" s="1"/>
  <c r="H229" i="46"/>
  <c r="I229" i="46" s="1"/>
  <c r="H228" i="46"/>
  <c r="I228" i="46" s="1"/>
  <c r="H227" i="46"/>
  <c r="I227" i="46" s="1"/>
  <c r="H226" i="46"/>
  <c r="I226" i="46" s="1"/>
  <c r="H225" i="46"/>
  <c r="I225" i="46" s="1"/>
  <c r="H224" i="46"/>
  <c r="I224" i="46" s="1"/>
  <c r="H223" i="46"/>
  <c r="I223" i="46" s="1"/>
  <c r="H222" i="46"/>
  <c r="I222" i="46" s="1"/>
  <c r="H221" i="46"/>
  <c r="I221" i="46" s="1"/>
  <c r="H220" i="46"/>
  <c r="I220" i="46" s="1"/>
  <c r="E216" i="46"/>
  <c r="E242" i="46" s="1"/>
  <c r="D11" i="47" s="1"/>
  <c r="D20" i="51" s="1"/>
  <c r="L195" i="46"/>
  <c r="M195" i="46" s="1"/>
  <c r="L194" i="46"/>
  <c r="M194" i="46" s="1"/>
  <c r="L193" i="46"/>
  <c r="M193" i="46" s="1"/>
  <c r="L192" i="46"/>
  <c r="M192" i="46" s="1"/>
  <c r="L191" i="46"/>
  <c r="M191" i="46" s="1"/>
  <c r="L190" i="46"/>
  <c r="M190" i="46" s="1"/>
  <c r="L189" i="46"/>
  <c r="M189" i="46" s="1"/>
  <c r="L188" i="46"/>
  <c r="M188" i="46" s="1"/>
  <c r="L187" i="46"/>
  <c r="M187" i="46" s="1"/>
  <c r="L186" i="46"/>
  <c r="M186" i="46" s="1"/>
  <c r="L185" i="46"/>
  <c r="M185" i="46" s="1"/>
  <c r="L184" i="46"/>
  <c r="M184" i="46" s="1"/>
  <c r="L183" i="46"/>
  <c r="M183" i="46" s="1"/>
  <c r="L182" i="46"/>
  <c r="M182" i="46" s="1"/>
  <c r="L181" i="46"/>
  <c r="M181" i="46" s="1"/>
  <c r="E196" i="46"/>
  <c r="D9" i="47" s="1"/>
  <c r="D11" i="51" s="1"/>
  <c r="I195" i="46"/>
  <c r="J195" i="46" s="1"/>
  <c r="I194" i="46"/>
  <c r="J194" i="46" s="1"/>
  <c r="I193" i="46"/>
  <c r="J193" i="46" s="1"/>
  <c r="I192" i="46"/>
  <c r="J192" i="46" s="1"/>
  <c r="I191" i="46"/>
  <c r="J191" i="46" s="1"/>
  <c r="I190" i="46"/>
  <c r="J190" i="46" s="1"/>
  <c r="I189" i="46"/>
  <c r="J189" i="46" s="1"/>
  <c r="I188" i="46"/>
  <c r="J188" i="46" s="1"/>
  <c r="I187" i="46"/>
  <c r="J187" i="46" s="1"/>
  <c r="I186" i="46"/>
  <c r="J186" i="46" s="1"/>
  <c r="I185" i="46"/>
  <c r="J185" i="46" s="1"/>
  <c r="I184" i="46"/>
  <c r="J184" i="46" s="1"/>
  <c r="I183" i="46"/>
  <c r="J183" i="46" s="1"/>
  <c r="I182" i="46"/>
  <c r="J182" i="46" s="1"/>
  <c r="I181" i="46"/>
  <c r="J181" i="46" s="1"/>
  <c r="I175" i="46"/>
  <c r="J175" i="46" s="1"/>
  <c r="E176" i="46"/>
  <c r="D8" i="47" s="1"/>
  <c r="D10" i="51" s="1"/>
  <c r="I174" i="46"/>
  <c r="J174" i="46" s="1"/>
  <c r="I173" i="46"/>
  <c r="J173" i="46" s="1"/>
  <c r="I172" i="46"/>
  <c r="J172" i="46" s="1"/>
  <c r="I171" i="46"/>
  <c r="J171" i="46" s="1"/>
  <c r="I170" i="46"/>
  <c r="J170" i="46" s="1"/>
  <c r="I169" i="46"/>
  <c r="J169" i="46" s="1"/>
  <c r="I168" i="46"/>
  <c r="J168" i="46" s="1"/>
  <c r="I167" i="46"/>
  <c r="J167" i="46" s="1"/>
  <c r="I166" i="46"/>
  <c r="J166" i="46" s="1"/>
  <c r="I165" i="46"/>
  <c r="J165" i="46" s="1"/>
  <c r="I164" i="46"/>
  <c r="J164" i="46" s="1"/>
  <c r="I163" i="46"/>
  <c r="J163" i="46" s="1"/>
  <c r="I162" i="46"/>
  <c r="J162" i="46" s="1"/>
  <c r="I161" i="46"/>
  <c r="J161" i="46" s="1"/>
  <c r="I160" i="46"/>
  <c r="J160" i="46" s="1"/>
  <c r="I159" i="46"/>
  <c r="J159" i="46" s="1"/>
  <c r="I158" i="46"/>
  <c r="J158" i="46" s="1"/>
  <c r="I157" i="46"/>
  <c r="J157" i="46" s="1"/>
  <c r="I156" i="46"/>
  <c r="J156" i="46" s="1"/>
  <c r="I155" i="46"/>
  <c r="J155" i="46" s="1"/>
  <c r="I154" i="46"/>
  <c r="J154" i="46" s="1"/>
  <c r="I153" i="46"/>
  <c r="J153" i="46" s="1"/>
  <c r="I152" i="46"/>
  <c r="J152" i="46" s="1"/>
  <c r="I151" i="46"/>
  <c r="J151" i="46" s="1"/>
  <c r="I150" i="46"/>
  <c r="J150" i="46" s="1"/>
  <c r="I149" i="46"/>
  <c r="J149" i="46" s="1"/>
  <c r="I148" i="46"/>
  <c r="J148" i="46" s="1"/>
  <c r="I147" i="46"/>
  <c r="J147" i="46" s="1"/>
  <c r="I146" i="46"/>
  <c r="J146" i="46" s="1"/>
  <c r="I145" i="46"/>
  <c r="J145" i="46" s="1"/>
  <c r="I144" i="46"/>
  <c r="J144" i="46" s="1"/>
  <c r="I143" i="46"/>
  <c r="J143" i="46" s="1"/>
  <c r="I142" i="46"/>
  <c r="J142" i="46" s="1"/>
  <c r="I141" i="46"/>
  <c r="J141" i="46" s="1"/>
  <c r="I140" i="46"/>
  <c r="J140" i="46" s="1"/>
  <c r="I139" i="46"/>
  <c r="J139" i="46" s="1"/>
  <c r="I138" i="46"/>
  <c r="J138" i="46" s="1"/>
  <c r="I137" i="46"/>
  <c r="J137" i="46" s="1"/>
  <c r="I136" i="46"/>
  <c r="J136" i="46" s="1"/>
  <c r="I135" i="46"/>
  <c r="J135" i="46" s="1"/>
  <c r="I134" i="46"/>
  <c r="J134" i="46" s="1"/>
  <c r="I133" i="46"/>
  <c r="J133" i="46" s="1"/>
  <c r="I132" i="46"/>
  <c r="J132" i="46" s="1"/>
  <c r="I131" i="46"/>
  <c r="J131" i="46" s="1"/>
  <c r="I130" i="46"/>
  <c r="J130" i="46" s="1"/>
  <c r="I129" i="46"/>
  <c r="J129" i="46" s="1"/>
  <c r="E123" i="46"/>
  <c r="E92" i="46"/>
  <c r="E95" i="46" s="1"/>
  <c r="E98" i="46"/>
  <c r="M115" i="46"/>
  <c r="L115" i="46"/>
  <c r="M114" i="46"/>
  <c r="L114" i="46"/>
  <c r="M113" i="46"/>
  <c r="L113" i="46"/>
  <c r="M112" i="46"/>
  <c r="L112" i="46"/>
  <c r="M111" i="46"/>
  <c r="L111" i="46"/>
  <c r="M110" i="46"/>
  <c r="L110" i="46"/>
  <c r="M109" i="46"/>
  <c r="L109" i="46"/>
  <c r="M108" i="46"/>
  <c r="L108" i="46"/>
  <c r="M107" i="46"/>
  <c r="L107" i="46"/>
  <c r="M106" i="46"/>
  <c r="L106" i="46"/>
  <c r="M105" i="46"/>
  <c r="L105" i="46"/>
  <c r="M104" i="46"/>
  <c r="L104" i="46"/>
  <c r="E116" i="46"/>
  <c r="E120" i="46" s="1"/>
  <c r="H115" i="46"/>
  <c r="I115" i="46" s="1"/>
  <c r="H114" i="46"/>
  <c r="I114" i="46" s="1"/>
  <c r="H113" i="46"/>
  <c r="I113" i="46" s="1"/>
  <c r="H112" i="46"/>
  <c r="I112" i="46" s="1"/>
  <c r="H111" i="46"/>
  <c r="I111" i="46" s="1"/>
  <c r="H110" i="46"/>
  <c r="I110" i="46" s="1"/>
  <c r="H109" i="46"/>
  <c r="I109" i="46" s="1"/>
  <c r="H108" i="46"/>
  <c r="I108" i="46" s="1"/>
  <c r="H107" i="46"/>
  <c r="I107" i="46" s="1"/>
  <c r="H106" i="46"/>
  <c r="I106" i="46" s="1"/>
  <c r="H105" i="46"/>
  <c r="I105" i="46" s="1"/>
  <c r="H104" i="46"/>
  <c r="I104" i="46" s="1"/>
  <c r="M90" i="46"/>
  <c r="L90" i="46"/>
  <c r="M89" i="46"/>
  <c r="L89" i="46"/>
  <c r="M88" i="46"/>
  <c r="L88" i="46"/>
  <c r="M87" i="46"/>
  <c r="L87" i="46"/>
  <c r="M86" i="46"/>
  <c r="L86" i="46"/>
  <c r="M85" i="46"/>
  <c r="L85" i="46"/>
  <c r="M84" i="46"/>
  <c r="L84" i="46"/>
  <c r="M83" i="46"/>
  <c r="L83" i="46"/>
  <c r="M82" i="46"/>
  <c r="L82" i="46"/>
  <c r="M81" i="46"/>
  <c r="L81" i="46"/>
  <c r="M80" i="46"/>
  <c r="L80" i="46"/>
  <c r="M79" i="46"/>
  <c r="L79" i="46"/>
  <c r="M78" i="46"/>
  <c r="L78" i="46"/>
  <c r="M77" i="46"/>
  <c r="L77" i="46"/>
  <c r="M76" i="46"/>
  <c r="L76" i="46"/>
  <c r="M75" i="46"/>
  <c r="L75" i="46"/>
  <c r="M74" i="46"/>
  <c r="L74" i="46"/>
  <c r="M73" i="46"/>
  <c r="L73" i="46"/>
  <c r="M72" i="46"/>
  <c r="L72" i="46"/>
  <c r="M71" i="46"/>
  <c r="L71" i="46"/>
  <c r="M70" i="46"/>
  <c r="L70" i="46"/>
  <c r="M69" i="46"/>
  <c r="L69" i="46"/>
  <c r="M68" i="46"/>
  <c r="L68" i="46"/>
  <c r="M67" i="46"/>
  <c r="L67" i="46"/>
  <c r="M66" i="46"/>
  <c r="L66" i="46"/>
  <c r="M65" i="46"/>
  <c r="L65" i="46"/>
  <c r="M64" i="46"/>
  <c r="L64" i="46"/>
  <c r="M63" i="46"/>
  <c r="L63" i="46"/>
  <c r="M62" i="46"/>
  <c r="L62" i="46"/>
  <c r="M61" i="46"/>
  <c r="L61" i="46"/>
  <c r="M60" i="46"/>
  <c r="L60" i="46"/>
  <c r="M59" i="46"/>
  <c r="L59" i="46"/>
  <c r="M58" i="46"/>
  <c r="L58" i="46"/>
  <c r="M57" i="46"/>
  <c r="L57" i="46"/>
  <c r="M56" i="46"/>
  <c r="L56" i="46"/>
  <c r="M55" i="46"/>
  <c r="L55" i="46"/>
  <c r="M54" i="46"/>
  <c r="L54" i="46"/>
  <c r="M53" i="46"/>
  <c r="L53" i="46"/>
  <c r="M52" i="46"/>
  <c r="L52" i="46"/>
  <c r="M51" i="46"/>
  <c r="L51" i="46"/>
  <c r="M50" i="46"/>
  <c r="L50" i="46"/>
  <c r="M49" i="46"/>
  <c r="L49" i="46"/>
  <c r="M48" i="46"/>
  <c r="L48" i="46"/>
  <c r="M47" i="46"/>
  <c r="L47" i="46"/>
  <c r="M46" i="46"/>
  <c r="L46" i="46"/>
  <c r="M45" i="46"/>
  <c r="L45" i="46"/>
  <c r="M44" i="46"/>
  <c r="L44" i="46"/>
  <c r="M43" i="46"/>
  <c r="L43" i="46"/>
  <c r="M42" i="46"/>
  <c r="L42" i="46"/>
  <c r="M41" i="46"/>
  <c r="L41" i="46"/>
  <c r="M40" i="46"/>
  <c r="L40" i="46"/>
  <c r="M39" i="46"/>
  <c r="L39" i="46"/>
  <c r="M38" i="46"/>
  <c r="L38" i="46"/>
  <c r="M37" i="46"/>
  <c r="L37" i="46"/>
  <c r="M36" i="46"/>
  <c r="L36" i="46"/>
  <c r="M35" i="46"/>
  <c r="L35" i="46"/>
  <c r="M34" i="46"/>
  <c r="L34" i="46"/>
  <c r="M33" i="46"/>
  <c r="L33" i="46"/>
  <c r="M32" i="46"/>
  <c r="L32" i="46"/>
  <c r="M31" i="46"/>
  <c r="L31" i="46"/>
  <c r="M30" i="46"/>
  <c r="L30" i="46"/>
  <c r="M29" i="46"/>
  <c r="L29" i="46"/>
  <c r="M28" i="46"/>
  <c r="L28" i="46"/>
  <c r="M27" i="46"/>
  <c r="L27" i="46"/>
  <c r="M26" i="46"/>
  <c r="L26" i="46"/>
  <c r="M25" i="46"/>
  <c r="L25" i="46"/>
  <c r="M24" i="46"/>
  <c r="L24" i="46"/>
  <c r="M23" i="46"/>
  <c r="L23" i="46"/>
  <c r="M22" i="46"/>
  <c r="L22" i="46"/>
  <c r="M21" i="46"/>
  <c r="L21" i="46"/>
  <c r="M20" i="46"/>
  <c r="L20" i="46"/>
  <c r="W92" i="46"/>
  <c r="H90" i="46"/>
  <c r="I90" i="46" s="1"/>
  <c r="H89" i="46"/>
  <c r="I89" i="46" s="1"/>
  <c r="H88" i="46"/>
  <c r="I88" i="46" s="1"/>
  <c r="H87" i="46"/>
  <c r="I87" i="46" s="1"/>
  <c r="H86" i="46"/>
  <c r="I86" i="46" s="1"/>
  <c r="H85" i="46"/>
  <c r="I85" i="46" s="1"/>
  <c r="H84" i="46"/>
  <c r="I84" i="46" s="1"/>
  <c r="H83" i="46"/>
  <c r="I83" i="46" s="1"/>
  <c r="H82" i="46"/>
  <c r="I82" i="46" s="1"/>
  <c r="H81" i="46"/>
  <c r="I81" i="46" s="1"/>
  <c r="H80" i="46"/>
  <c r="I80" i="46" s="1"/>
  <c r="H79" i="46"/>
  <c r="I79" i="46" s="1"/>
  <c r="H78" i="46"/>
  <c r="I78" i="46" s="1"/>
  <c r="H77" i="46"/>
  <c r="I77" i="46" s="1"/>
  <c r="H76" i="46"/>
  <c r="I76" i="46" s="1"/>
  <c r="H75" i="46"/>
  <c r="I75" i="46" s="1"/>
  <c r="H74" i="46"/>
  <c r="I74" i="46" s="1"/>
  <c r="H73" i="46"/>
  <c r="I73" i="46" s="1"/>
  <c r="H72" i="46"/>
  <c r="I72" i="46" s="1"/>
  <c r="H71" i="46"/>
  <c r="I71" i="46" s="1"/>
  <c r="H70" i="46"/>
  <c r="I70" i="46" s="1"/>
  <c r="H69" i="46"/>
  <c r="I69" i="46" s="1"/>
  <c r="H68" i="46"/>
  <c r="I68" i="46" s="1"/>
  <c r="H67" i="46"/>
  <c r="I67" i="46" s="1"/>
  <c r="H66" i="46"/>
  <c r="I66" i="46" s="1"/>
  <c r="H65" i="46"/>
  <c r="I65" i="46" s="1"/>
  <c r="H64" i="46"/>
  <c r="I64" i="46" s="1"/>
  <c r="H63" i="46"/>
  <c r="I63" i="46" s="1"/>
  <c r="H62" i="46"/>
  <c r="I62" i="46" s="1"/>
  <c r="H61" i="46"/>
  <c r="I61" i="46" s="1"/>
  <c r="H60" i="46"/>
  <c r="I60" i="46" s="1"/>
  <c r="H59" i="46"/>
  <c r="I59" i="46" s="1"/>
  <c r="H58" i="46"/>
  <c r="I58" i="46" s="1"/>
  <c r="H57" i="46"/>
  <c r="I57" i="46" s="1"/>
  <c r="H56" i="46"/>
  <c r="I56" i="46" s="1"/>
  <c r="H55" i="46"/>
  <c r="I55" i="46" s="1"/>
  <c r="H54" i="46"/>
  <c r="I54" i="46" s="1"/>
  <c r="H53" i="46"/>
  <c r="I53" i="46" s="1"/>
  <c r="H52" i="46"/>
  <c r="I52" i="46" s="1"/>
  <c r="H51" i="46"/>
  <c r="I51" i="46" s="1"/>
  <c r="H50" i="46"/>
  <c r="I50" i="46" s="1"/>
  <c r="H49" i="46"/>
  <c r="I49" i="46" s="1"/>
  <c r="H48" i="46"/>
  <c r="I48" i="46" s="1"/>
  <c r="H47" i="46"/>
  <c r="I47" i="46" s="1"/>
  <c r="H46" i="46"/>
  <c r="I46" i="46" s="1"/>
  <c r="H45" i="46"/>
  <c r="I45" i="46" s="1"/>
  <c r="H44" i="46"/>
  <c r="I44" i="46" s="1"/>
  <c r="H43" i="46"/>
  <c r="I43" i="46" s="1"/>
  <c r="H42" i="46"/>
  <c r="I42" i="46" s="1"/>
  <c r="H41" i="46"/>
  <c r="I41" i="46" s="1"/>
  <c r="H40" i="46"/>
  <c r="I40" i="46" s="1"/>
  <c r="H39" i="46"/>
  <c r="I39" i="46" s="1"/>
  <c r="H38" i="46"/>
  <c r="I38" i="46" s="1"/>
  <c r="H37" i="46"/>
  <c r="I37" i="46" s="1"/>
  <c r="H36" i="46"/>
  <c r="I36" i="46" s="1"/>
  <c r="H35" i="46"/>
  <c r="I35" i="46" s="1"/>
  <c r="H34" i="46"/>
  <c r="I34" i="46" s="1"/>
  <c r="H33" i="46"/>
  <c r="I33" i="46" s="1"/>
  <c r="H32" i="46"/>
  <c r="I32" i="46" s="1"/>
  <c r="H31" i="46"/>
  <c r="I31" i="46" s="1"/>
  <c r="H30" i="46"/>
  <c r="I30" i="46" s="1"/>
  <c r="H29" i="46"/>
  <c r="I29" i="46" s="1"/>
  <c r="H28" i="46"/>
  <c r="I28" i="46" s="1"/>
  <c r="H27" i="46"/>
  <c r="I27" i="46" s="1"/>
  <c r="H26" i="46"/>
  <c r="I26" i="46" s="1"/>
  <c r="H25" i="46"/>
  <c r="I25" i="46" s="1"/>
  <c r="H24" i="46"/>
  <c r="I24" i="46" s="1"/>
  <c r="H23" i="46"/>
  <c r="I23" i="46" s="1"/>
  <c r="H22" i="46"/>
  <c r="I22" i="46" s="1"/>
  <c r="H21" i="46"/>
  <c r="I21" i="46" s="1"/>
  <c r="H20" i="46"/>
  <c r="I20" i="46" s="1"/>
  <c r="J12" i="46"/>
  <c r="K12" i="46" s="1"/>
  <c r="J11" i="46"/>
  <c r="K11" i="46" s="1"/>
  <c r="J10" i="46"/>
  <c r="K10" i="46" s="1"/>
  <c r="J9" i="46"/>
  <c r="K9" i="46" s="1"/>
  <c r="J8" i="46"/>
  <c r="K8" i="46" s="1"/>
  <c r="J7" i="46"/>
  <c r="K7" i="46" s="1"/>
  <c r="G19" i="51" l="1"/>
  <c r="G17" i="43"/>
  <c r="D4" i="43"/>
  <c r="D11" i="43"/>
  <c r="D10" i="43"/>
  <c r="D17" i="43"/>
  <c r="L246" i="46"/>
  <c r="M246" i="46" s="1"/>
  <c r="D5" i="47"/>
  <c r="N27" i="46"/>
  <c r="N29" i="46"/>
  <c r="O29" i="46" s="1"/>
  <c r="N104" i="46"/>
  <c r="O104" i="46" s="1"/>
  <c r="N108" i="46"/>
  <c r="O108" i="46" s="1"/>
  <c r="N112" i="46"/>
  <c r="O112" i="46" s="1"/>
  <c r="N114" i="46"/>
  <c r="O114" i="46" s="1"/>
  <c r="N21" i="46"/>
  <c r="N33" i="46"/>
  <c r="O33" i="46" s="1"/>
  <c r="D6" i="47"/>
  <c r="E99" i="46"/>
  <c r="G5" i="47" s="1"/>
  <c r="O246" i="46"/>
  <c r="N35" i="46"/>
  <c r="O35" i="46" s="1"/>
  <c r="N37" i="46"/>
  <c r="O37" i="46" s="1"/>
  <c r="N43" i="46"/>
  <c r="N45" i="46"/>
  <c r="O45" i="46" s="1"/>
  <c r="N49" i="46"/>
  <c r="N65" i="46"/>
  <c r="O65" i="46" s="1"/>
  <c r="N83" i="46"/>
  <c r="O83" i="46" s="1"/>
  <c r="N85" i="46"/>
  <c r="O85" i="46" s="1"/>
  <c r="N105" i="46"/>
  <c r="O105" i="46" s="1"/>
  <c r="N107" i="46"/>
  <c r="O107" i="46" s="1"/>
  <c r="N109" i="46"/>
  <c r="O109" i="46" s="1"/>
  <c r="M196" i="46"/>
  <c r="J216" i="46"/>
  <c r="N20" i="46"/>
  <c r="O20" i="46" s="1"/>
  <c r="J196" i="46"/>
  <c r="H9" i="47" s="1"/>
  <c r="J361" i="46"/>
  <c r="N50" i="46"/>
  <c r="O50" i="46" s="1"/>
  <c r="N52" i="46"/>
  <c r="O52" i="46" s="1"/>
  <c r="N58" i="46"/>
  <c r="O58" i="46" s="1"/>
  <c r="N60" i="46"/>
  <c r="O60" i="46" s="1"/>
  <c r="N66" i="46"/>
  <c r="O66" i="46" s="1"/>
  <c r="N68" i="46"/>
  <c r="O68" i="46" s="1"/>
  <c r="N74" i="46"/>
  <c r="O74" i="46" s="1"/>
  <c r="N76" i="46"/>
  <c r="O76" i="46" s="1"/>
  <c r="N106" i="46"/>
  <c r="O106" i="46" s="1"/>
  <c r="N110" i="46"/>
  <c r="O110" i="46" s="1"/>
  <c r="N57" i="46"/>
  <c r="O57" i="46" s="1"/>
  <c r="N73" i="46"/>
  <c r="O73" i="46" s="1"/>
  <c r="N81" i="46"/>
  <c r="O81" i="46" s="1"/>
  <c r="J339" i="46"/>
  <c r="L245" i="46"/>
  <c r="I239" i="46"/>
  <c r="N26" i="46"/>
  <c r="O26" i="46" s="1"/>
  <c r="N53" i="46"/>
  <c r="O53" i="46" s="1"/>
  <c r="N61" i="46"/>
  <c r="O61" i="46" s="1"/>
  <c r="N84" i="46"/>
  <c r="O84" i="46" s="1"/>
  <c r="N113" i="46"/>
  <c r="O113" i="46" s="1"/>
  <c r="N25" i="46"/>
  <c r="O25" i="46" s="1"/>
  <c r="N34" i="46"/>
  <c r="O34" i="46" s="1"/>
  <c r="N36" i="46"/>
  <c r="O36" i="46" s="1"/>
  <c r="N42" i="46"/>
  <c r="O42" i="46" s="1"/>
  <c r="N44" i="46"/>
  <c r="N67" i="46"/>
  <c r="O67" i="46" s="1"/>
  <c r="N69" i="46"/>
  <c r="O69" i="46" s="1"/>
  <c r="N75" i="46"/>
  <c r="O75" i="46" s="1"/>
  <c r="N77" i="46"/>
  <c r="O77" i="46" s="1"/>
  <c r="N89" i="46"/>
  <c r="O89" i="46" s="1"/>
  <c r="N115" i="46"/>
  <c r="O115" i="46" s="1"/>
  <c r="N28" i="46"/>
  <c r="O28" i="46" s="1"/>
  <c r="N51" i="46"/>
  <c r="N59" i="46"/>
  <c r="O59" i="46" s="1"/>
  <c r="N82" i="46"/>
  <c r="O82" i="46" s="1"/>
  <c r="N90" i="46"/>
  <c r="O90" i="46" s="1"/>
  <c r="N111" i="46"/>
  <c r="O111" i="46" s="1"/>
  <c r="N41" i="46"/>
  <c r="O41" i="46" s="1"/>
  <c r="E124" i="46"/>
  <c r="G6" i="47" s="1"/>
  <c r="G6" i="51" s="1"/>
  <c r="N22" i="46"/>
  <c r="O22" i="46" s="1"/>
  <c r="N24" i="46"/>
  <c r="O24" i="46" s="1"/>
  <c r="N31" i="46"/>
  <c r="O31" i="46" s="1"/>
  <c r="N38" i="46"/>
  <c r="O38" i="46" s="1"/>
  <c r="N40" i="46"/>
  <c r="O40" i="46" s="1"/>
  <c r="N47" i="46"/>
  <c r="O47" i="46" s="1"/>
  <c r="N54" i="46"/>
  <c r="O54" i="46" s="1"/>
  <c r="N56" i="46"/>
  <c r="O56" i="46" s="1"/>
  <c r="N63" i="46"/>
  <c r="O63" i="46" s="1"/>
  <c r="N70" i="46"/>
  <c r="O70" i="46" s="1"/>
  <c r="N72" i="46"/>
  <c r="O72" i="46" s="1"/>
  <c r="N79" i="46"/>
  <c r="O79" i="46" s="1"/>
  <c r="N86" i="46"/>
  <c r="O86" i="46" s="1"/>
  <c r="N88" i="46"/>
  <c r="O88" i="46" s="1"/>
  <c r="N23" i="46"/>
  <c r="O23" i="46" s="1"/>
  <c r="N30" i="46"/>
  <c r="O30" i="46" s="1"/>
  <c r="N32" i="46"/>
  <c r="O32" i="46" s="1"/>
  <c r="N39" i="46"/>
  <c r="O39" i="46" s="1"/>
  <c r="N46" i="46"/>
  <c r="O46" i="46" s="1"/>
  <c r="N48" i="46"/>
  <c r="O48" i="46" s="1"/>
  <c r="N55" i="46"/>
  <c r="O55" i="46" s="1"/>
  <c r="N62" i="46"/>
  <c r="O62" i="46" s="1"/>
  <c r="N64" i="46"/>
  <c r="O64" i="46" s="1"/>
  <c r="N71" i="46"/>
  <c r="O71" i="46" s="1"/>
  <c r="N78" i="46"/>
  <c r="O78" i="46" s="1"/>
  <c r="N80" i="46"/>
  <c r="O80" i="46" s="1"/>
  <c r="N87" i="46"/>
  <c r="O87" i="46" s="1"/>
  <c r="J176" i="46"/>
  <c r="H8" i="47" s="1"/>
  <c r="I116" i="46"/>
  <c r="O44" i="46"/>
  <c r="O49" i="46"/>
  <c r="O27" i="46"/>
  <c r="I92" i="46"/>
  <c r="O21" i="46"/>
  <c r="O43" i="46"/>
  <c r="O51" i="46"/>
  <c r="K14" i="46"/>
  <c r="H4" i="47" s="1"/>
  <c r="H10" i="51" l="1"/>
  <c r="H10" i="43"/>
  <c r="G5" i="51"/>
  <c r="G5" i="43"/>
  <c r="D6" i="51"/>
  <c r="D6" i="43"/>
  <c r="H4" i="51"/>
  <c r="H4" i="43"/>
  <c r="D5" i="51"/>
  <c r="D5" i="43"/>
  <c r="G6" i="43"/>
  <c r="F242" i="46"/>
  <c r="G11" i="47" s="1"/>
  <c r="O116" i="46"/>
  <c r="I118" i="46" s="1"/>
  <c r="H6" i="47" s="1"/>
  <c r="M245" i="46"/>
  <c r="O245" i="46" s="1"/>
  <c r="O248" i="46" s="1"/>
  <c r="H7" i="47" s="1"/>
  <c r="O92" i="46"/>
  <c r="G360" i="45"/>
  <c r="D8" i="43" s="1"/>
  <c r="G305" i="45"/>
  <c r="G352" i="45"/>
  <c r="G197" i="45"/>
  <c r="G169" i="45"/>
  <c r="G85" i="45"/>
  <c r="H6" i="51" l="1"/>
  <c r="H6" i="43"/>
  <c r="G18" i="43"/>
  <c r="G20" i="51"/>
  <c r="G353" i="45"/>
  <c r="M248" i="46"/>
  <c r="J94" i="46"/>
  <c r="H5" i="47" s="1"/>
  <c r="J207" i="45"/>
  <c r="K207" i="45" s="1"/>
  <c r="J206" i="45"/>
  <c r="K206" i="45" s="1"/>
  <c r="J205" i="45"/>
  <c r="K205" i="45" s="1"/>
  <c r="J204" i="45"/>
  <c r="K204" i="45" s="1"/>
  <c r="J203" i="45"/>
  <c r="K203" i="45" s="1"/>
  <c r="J202" i="45"/>
  <c r="K202" i="45" s="1"/>
  <c r="K201" i="45"/>
  <c r="K209" i="45" s="1"/>
  <c r="J201" i="45"/>
  <c r="G142" i="45"/>
  <c r="J358" i="45"/>
  <c r="K358" i="45" s="1"/>
  <c r="J357" i="45"/>
  <c r="K357" i="45" s="1"/>
  <c r="J356" i="45"/>
  <c r="K356" i="45" s="1"/>
  <c r="J350" i="45"/>
  <c r="K350" i="45" s="1"/>
  <c r="J349" i="45"/>
  <c r="K349" i="45" s="1"/>
  <c r="J348" i="45"/>
  <c r="K348" i="45" s="1"/>
  <c r="J347" i="45"/>
  <c r="K347" i="45" s="1"/>
  <c r="J346" i="45"/>
  <c r="K346" i="45" s="1"/>
  <c r="J345" i="45"/>
  <c r="K345" i="45" s="1"/>
  <c r="J344" i="45"/>
  <c r="K344" i="45" s="1"/>
  <c r="J343" i="45"/>
  <c r="K343" i="45" s="1"/>
  <c r="J342" i="45"/>
  <c r="K342" i="45" s="1"/>
  <c r="J341" i="45"/>
  <c r="K341" i="45" s="1"/>
  <c r="J340" i="45"/>
  <c r="K340" i="45" s="1"/>
  <c r="J339" i="45"/>
  <c r="K339" i="45" s="1"/>
  <c r="J338" i="45"/>
  <c r="K338" i="45" s="1"/>
  <c r="J337" i="45"/>
  <c r="K337" i="45" s="1"/>
  <c r="J336" i="45"/>
  <c r="K336" i="45" s="1"/>
  <c r="J335" i="45"/>
  <c r="K335" i="45" s="1"/>
  <c r="J334" i="45"/>
  <c r="K334" i="45" s="1"/>
  <c r="J333" i="45"/>
  <c r="K333" i="45" s="1"/>
  <c r="J332" i="45"/>
  <c r="K332" i="45" s="1"/>
  <c r="J331" i="45"/>
  <c r="K331" i="45" s="1"/>
  <c r="J330" i="45"/>
  <c r="K330" i="45" s="1"/>
  <c r="J329" i="45"/>
  <c r="K329" i="45" s="1"/>
  <c r="J328" i="45"/>
  <c r="K328" i="45" s="1"/>
  <c r="J327" i="45"/>
  <c r="K327" i="45" s="1"/>
  <c r="J326" i="45"/>
  <c r="K326" i="45" s="1"/>
  <c r="J325" i="45"/>
  <c r="K325" i="45" s="1"/>
  <c r="J324" i="45"/>
  <c r="K324" i="45" s="1"/>
  <c r="J323" i="45"/>
  <c r="K323" i="45" s="1"/>
  <c r="J322" i="45"/>
  <c r="K322" i="45" s="1"/>
  <c r="J321" i="45"/>
  <c r="K321" i="45" s="1"/>
  <c r="J320" i="45"/>
  <c r="K320" i="45" s="1"/>
  <c r="J319" i="45"/>
  <c r="K319" i="45" s="1"/>
  <c r="J318" i="45"/>
  <c r="K318" i="45" s="1"/>
  <c r="J317" i="45"/>
  <c r="K317" i="45" s="1"/>
  <c r="J316" i="45"/>
  <c r="K316" i="45" s="1"/>
  <c r="J315" i="45"/>
  <c r="K315" i="45" s="1"/>
  <c r="J314" i="45"/>
  <c r="K314" i="45" s="1"/>
  <c r="J313" i="45"/>
  <c r="K313" i="45" s="1"/>
  <c r="J312" i="45"/>
  <c r="K312" i="45" s="1"/>
  <c r="J311" i="45"/>
  <c r="K311" i="45" s="1"/>
  <c r="J310" i="45"/>
  <c r="K310" i="45" s="1"/>
  <c r="J309" i="45"/>
  <c r="K309" i="45" s="1"/>
  <c r="J303" i="45"/>
  <c r="K303" i="45" s="1"/>
  <c r="J302" i="45"/>
  <c r="K302" i="45" s="1"/>
  <c r="J301" i="45"/>
  <c r="K301" i="45" s="1"/>
  <c r="J300" i="45"/>
  <c r="K300" i="45" s="1"/>
  <c r="J299" i="45"/>
  <c r="K299" i="45" s="1"/>
  <c r="J298" i="45"/>
  <c r="K298" i="45" s="1"/>
  <c r="J297" i="45"/>
  <c r="K297" i="45" s="1"/>
  <c r="J296" i="45"/>
  <c r="K296" i="45" s="1"/>
  <c r="J295" i="45"/>
  <c r="K295" i="45" s="1"/>
  <c r="J294" i="45"/>
  <c r="K294" i="45" s="1"/>
  <c r="J293" i="45"/>
  <c r="K293" i="45" s="1"/>
  <c r="J292" i="45"/>
  <c r="K292" i="45" s="1"/>
  <c r="J291" i="45"/>
  <c r="K291" i="45" s="1"/>
  <c r="J290" i="45"/>
  <c r="K290" i="45" s="1"/>
  <c r="J289" i="45"/>
  <c r="K289" i="45" s="1"/>
  <c r="J288" i="45"/>
  <c r="K288" i="45" s="1"/>
  <c r="J287" i="45"/>
  <c r="K287" i="45" s="1"/>
  <c r="J286" i="45"/>
  <c r="K286" i="45" s="1"/>
  <c r="J285" i="45"/>
  <c r="K285" i="45" s="1"/>
  <c r="J284" i="45"/>
  <c r="K284" i="45" s="1"/>
  <c r="J283" i="45"/>
  <c r="K283" i="45" s="1"/>
  <c r="J282" i="45"/>
  <c r="K282" i="45" s="1"/>
  <c r="J281" i="45"/>
  <c r="K281" i="45" s="1"/>
  <c r="J280" i="45"/>
  <c r="K280" i="45" s="1"/>
  <c r="J279" i="45"/>
  <c r="K279" i="45" s="1"/>
  <c r="J278" i="45"/>
  <c r="K278" i="45" s="1"/>
  <c r="J277" i="45"/>
  <c r="K277" i="45" s="1"/>
  <c r="J276" i="45"/>
  <c r="K276" i="45" s="1"/>
  <c r="J275" i="45"/>
  <c r="K275" i="45" s="1"/>
  <c r="J274" i="45"/>
  <c r="K274" i="45" s="1"/>
  <c r="J273" i="45"/>
  <c r="K273" i="45" s="1"/>
  <c r="J272" i="45"/>
  <c r="K272" i="45" s="1"/>
  <c r="J271" i="45"/>
  <c r="K271" i="45" s="1"/>
  <c r="J270" i="45"/>
  <c r="K270" i="45" s="1"/>
  <c r="J269" i="45"/>
  <c r="K269" i="45" s="1"/>
  <c r="J268" i="45"/>
  <c r="K268" i="45" s="1"/>
  <c r="J267" i="45"/>
  <c r="K267" i="45" s="1"/>
  <c r="J266" i="45"/>
  <c r="K266" i="45" s="1"/>
  <c r="J265" i="45"/>
  <c r="K265" i="45" s="1"/>
  <c r="J264" i="45"/>
  <c r="K264" i="45" s="1"/>
  <c r="J263" i="45"/>
  <c r="K263" i="45" s="1"/>
  <c r="J262" i="45"/>
  <c r="K262" i="45" s="1"/>
  <c r="J261" i="45"/>
  <c r="K261" i="45" s="1"/>
  <c r="J260" i="45"/>
  <c r="K260" i="45" s="1"/>
  <c r="J259" i="45"/>
  <c r="K259" i="45" s="1"/>
  <c r="J258" i="45"/>
  <c r="K258" i="45" s="1"/>
  <c r="J257" i="45"/>
  <c r="K257" i="45" s="1"/>
  <c r="J256" i="45"/>
  <c r="K256" i="45" s="1"/>
  <c r="J255" i="45"/>
  <c r="K255" i="45" s="1"/>
  <c r="J254" i="45"/>
  <c r="K254" i="45" s="1"/>
  <c r="J253" i="45"/>
  <c r="K253" i="45" s="1"/>
  <c r="J252" i="45"/>
  <c r="K252" i="45" s="1"/>
  <c r="J251" i="45"/>
  <c r="K251" i="45" s="1"/>
  <c r="J250" i="45"/>
  <c r="K250" i="45" s="1"/>
  <c r="J249" i="45"/>
  <c r="K249" i="45" s="1"/>
  <c r="J248" i="45"/>
  <c r="K248" i="45" s="1"/>
  <c r="J247" i="45"/>
  <c r="K247" i="45" s="1"/>
  <c r="J246" i="45"/>
  <c r="K246" i="45" s="1"/>
  <c r="J245" i="45"/>
  <c r="K245" i="45" s="1"/>
  <c r="J244" i="45"/>
  <c r="K244" i="45" s="1"/>
  <c r="J243" i="45"/>
  <c r="K243" i="45" s="1"/>
  <c r="J242" i="45"/>
  <c r="K242" i="45" s="1"/>
  <c r="J241" i="45"/>
  <c r="K241" i="45" s="1"/>
  <c r="J240" i="45"/>
  <c r="K240" i="45" s="1"/>
  <c r="J239" i="45"/>
  <c r="K239" i="45" s="1"/>
  <c r="J238" i="45"/>
  <c r="K238" i="45" s="1"/>
  <c r="J237" i="45"/>
  <c r="K237" i="45" s="1"/>
  <c r="J236" i="45"/>
  <c r="K236" i="45" s="1"/>
  <c r="J235" i="45"/>
  <c r="K235" i="45" s="1"/>
  <c r="J234" i="45"/>
  <c r="K234" i="45" s="1"/>
  <c r="J233" i="45"/>
  <c r="K233" i="45" s="1"/>
  <c r="J232" i="45"/>
  <c r="K232" i="45" s="1"/>
  <c r="J231" i="45"/>
  <c r="K231" i="45" s="1"/>
  <c r="J230" i="45"/>
  <c r="K230" i="45" s="1"/>
  <c r="J229" i="45"/>
  <c r="K229" i="45" s="1"/>
  <c r="J228" i="45"/>
  <c r="K228" i="45" s="1"/>
  <c r="J227" i="45"/>
  <c r="K227" i="45" s="1"/>
  <c r="J226" i="45"/>
  <c r="K226" i="45" s="1"/>
  <c r="J225" i="45"/>
  <c r="K225" i="45" s="1"/>
  <c r="J224" i="45"/>
  <c r="K224" i="45" s="1"/>
  <c r="J223" i="45"/>
  <c r="K223" i="45" s="1"/>
  <c r="J222" i="45"/>
  <c r="K222" i="45" s="1"/>
  <c r="J221" i="45"/>
  <c r="K221" i="45" s="1"/>
  <c r="J220" i="45"/>
  <c r="K220" i="45" s="1"/>
  <c r="J219" i="45"/>
  <c r="K219" i="45" s="1"/>
  <c r="J218" i="45"/>
  <c r="K218" i="45" s="1"/>
  <c r="J217" i="45"/>
  <c r="K217" i="45" s="1"/>
  <c r="J216" i="45"/>
  <c r="K216" i="45" s="1"/>
  <c r="J195" i="45"/>
  <c r="K195" i="45" s="1"/>
  <c r="J194" i="45"/>
  <c r="K194" i="45" s="1"/>
  <c r="J193" i="45"/>
  <c r="K193" i="45" s="1"/>
  <c r="J192" i="45"/>
  <c r="K192" i="45" s="1"/>
  <c r="J191" i="45"/>
  <c r="K191" i="45" s="1"/>
  <c r="J190" i="45"/>
  <c r="K190" i="45" s="1"/>
  <c r="J189" i="45"/>
  <c r="K189" i="45" s="1"/>
  <c r="J188" i="45"/>
  <c r="K188" i="45" s="1"/>
  <c r="J187" i="45"/>
  <c r="K187" i="45" s="1"/>
  <c r="J186" i="45"/>
  <c r="K186" i="45" s="1"/>
  <c r="J185" i="45"/>
  <c r="K185" i="45" s="1"/>
  <c r="J184" i="45"/>
  <c r="K184" i="45" s="1"/>
  <c r="J183" i="45"/>
  <c r="K183" i="45" s="1"/>
  <c r="J182" i="45"/>
  <c r="K182" i="45" s="1"/>
  <c r="J181" i="45"/>
  <c r="K181" i="45" s="1"/>
  <c r="J180" i="45"/>
  <c r="K180" i="45" s="1"/>
  <c r="J179" i="45"/>
  <c r="K179" i="45" s="1"/>
  <c r="K178" i="45"/>
  <c r="J178" i="45"/>
  <c r="J177" i="45"/>
  <c r="K177" i="45" s="1"/>
  <c r="J176" i="45"/>
  <c r="K176" i="45" s="1"/>
  <c r="J175" i="45"/>
  <c r="K175" i="45" s="1"/>
  <c r="J174" i="45"/>
  <c r="K174" i="45" s="1"/>
  <c r="J167" i="45"/>
  <c r="K167" i="45" s="1"/>
  <c r="J166" i="45"/>
  <c r="K166" i="45" s="1"/>
  <c r="J165" i="45"/>
  <c r="K165" i="45" s="1"/>
  <c r="J164" i="45"/>
  <c r="K164" i="45" s="1"/>
  <c r="J163" i="45"/>
  <c r="K163" i="45" s="1"/>
  <c r="J162" i="45"/>
  <c r="K162" i="45" s="1"/>
  <c r="J161" i="45"/>
  <c r="K161" i="45" s="1"/>
  <c r="J160" i="45"/>
  <c r="K160" i="45" s="1"/>
  <c r="J159" i="45"/>
  <c r="K159" i="45" s="1"/>
  <c r="J158" i="45"/>
  <c r="K158" i="45" s="1"/>
  <c r="J157" i="45"/>
  <c r="K157" i="45" s="1"/>
  <c r="J156" i="45"/>
  <c r="K156" i="45" s="1"/>
  <c r="J155" i="45"/>
  <c r="K155" i="45" s="1"/>
  <c r="J154" i="45"/>
  <c r="K154" i="45" s="1"/>
  <c r="J153" i="45"/>
  <c r="K153" i="45" s="1"/>
  <c r="J152" i="45"/>
  <c r="K152" i="45" s="1"/>
  <c r="J151" i="45"/>
  <c r="K151" i="45" s="1"/>
  <c r="J150" i="45"/>
  <c r="K150" i="45" s="1"/>
  <c r="J149" i="45"/>
  <c r="K149" i="45" s="1"/>
  <c r="J148" i="45"/>
  <c r="K148" i="45" s="1"/>
  <c r="J147" i="45"/>
  <c r="K147" i="45" s="1"/>
  <c r="J146" i="45"/>
  <c r="K146" i="45" s="1"/>
  <c r="J140" i="45"/>
  <c r="K140" i="45" s="1"/>
  <c r="J139" i="45"/>
  <c r="K139" i="45" s="1"/>
  <c r="J138" i="45"/>
  <c r="K138" i="45" s="1"/>
  <c r="J137" i="45"/>
  <c r="K137" i="45" s="1"/>
  <c r="K136" i="45"/>
  <c r="J136" i="45"/>
  <c r="J135" i="45"/>
  <c r="K135" i="45" s="1"/>
  <c r="J134" i="45"/>
  <c r="K134" i="45" s="1"/>
  <c r="J133" i="45"/>
  <c r="K133" i="45" s="1"/>
  <c r="J132" i="45"/>
  <c r="K132" i="45" s="1"/>
  <c r="J131" i="45"/>
  <c r="K131" i="45" s="1"/>
  <c r="J130" i="45"/>
  <c r="K130" i="45" s="1"/>
  <c r="J129" i="45"/>
  <c r="K129" i="45" s="1"/>
  <c r="J128" i="45"/>
  <c r="K128" i="45" s="1"/>
  <c r="J127" i="45"/>
  <c r="K127" i="45" s="1"/>
  <c r="J126" i="45"/>
  <c r="K126" i="45" s="1"/>
  <c r="J125" i="45"/>
  <c r="K125" i="45" s="1"/>
  <c r="J124" i="45"/>
  <c r="K124" i="45" s="1"/>
  <c r="J123" i="45"/>
  <c r="K123" i="45" s="1"/>
  <c r="J122" i="45"/>
  <c r="K122" i="45" s="1"/>
  <c r="J121" i="45"/>
  <c r="K121" i="45" s="1"/>
  <c r="J120" i="45"/>
  <c r="K120" i="45" s="1"/>
  <c r="J119" i="45"/>
  <c r="K119" i="45" s="1"/>
  <c r="J118" i="45"/>
  <c r="K118" i="45" s="1"/>
  <c r="J117" i="45"/>
  <c r="K117" i="45" s="1"/>
  <c r="J116" i="45"/>
  <c r="K116" i="45" s="1"/>
  <c r="J115" i="45"/>
  <c r="K115" i="45" s="1"/>
  <c r="J114" i="45"/>
  <c r="K114" i="45" s="1"/>
  <c r="J113" i="45"/>
  <c r="K113" i="45" s="1"/>
  <c r="J112" i="45"/>
  <c r="K112" i="45" s="1"/>
  <c r="J111" i="45"/>
  <c r="K111" i="45" s="1"/>
  <c r="J110" i="45"/>
  <c r="K110" i="45" s="1"/>
  <c r="J109" i="45"/>
  <c r="K109" i="45" s="1"/>
  <c r="J108" i="45"/>
  <c r="K108" i="45" s="1"/>
  <c r="J107" i="45"/>
  <c r="K107" i="45" s="1"/>
  <c r="J106" i="45"/>
  <c r="K106" i="45" s="1"/>
  <c r="J105" i="45"/>
  <c r="K105" i="45" s="1"/>
  <c r="J104" i="45"/>
  <c r="K104" i="45" s="1"/>
  <c r="J103" i="45"/>
  <c r="K103" i="45" s="1"/>
  <c r="J102" i="45"/>
  <c r="K102" i="45" s="1"/>
  <c r="J101" i="45"/>
  <c r="K101" i="45" s="1"/>
  <c r="J100" i="45"/>
  <c r="K100" i="45" s="1"/>
  <c r="J99" i="45"/>
  <c r="K99" i="45" s="1"/>
  <c r="J98" i="45"/>
  <c r="K98" i="45" s="1"/>
  <c r="J97" i="45"/>
  <c r="K97" i="45" s="1"/>
  <c r="J96" i="45"/>
  <c r="K96" i="45" s="1"/>
  <c r="J95" i="45"/>
  <c r="K95" i="45" s="1"/>
  <c r="J83" i="45"/>
  <c r="K83" i="45" s="1"/>
  <c r="J82" i="45"/>
  <c r="K82" i="45" s="1"/>
  <c r="J81" i="45"/>
  <c r="K81" i="45" s="1"/>
  <c r="J80" i="45"/>
  <c r="K80" i="45" s="1"/>
  <c r="J79" i="45"/>
  <c r="K79" i="45" s="1"/>
  <c r="J78" i="45"/>
  <c r="K78" i="45" s="1"/>
  <c r="O65" i="45"/>
  <c r="N65" i="45"/>
  <c r="J65" i="45"/>
  <c r="K65" i="45" s="1"/>
  <c r="O64" i="45"/>
  <c r="N64" i="45"/>
  <c r="J64" i="45"/>
  <c r="K64" i="45" s="1"/>
  <c r="O63" i="45"/>
  <c r="N63" i="45"/>
  <c r="J63" i="45"/>
  <c r="K63" i="45" s="1"/>
  <c r="O62" i="45"/>
  <c r="N62" i="45"/>
  <c r="J62" i="45"/>
  <c r="K62" i="45" s="1"/>
  <c r="O61" i="45"/>
  <c r="N61" i="45"/>
  <c r="J61" i="45"/>
  <c r="K61" i="45" s="1"/>
  <c r="O60" i="45"/>
  <c r="N60" i="45"/>
  <c r="J60" i="45"/>
  <c r="K60" i="45" s="1"/>
  <c r="O59" i="45"/>
  <c r="N59" i="45"/>
  <c r="J59" i="45"/>
  <c r="K59" i="45" s="1"/>
  <c r="O58" i="45"/>
  <c r="N58" i="45"/>
  <c r="J58" i="45"/>
  <c r="K58" i="45" s="1"/>
  <c r="O57" i="45"/>
  <c r="N57" i="45"/>
  <c r="J57" i="45"/>
  <c r="K57" i="45" s="1"/>
  <c r="O56" i="45"/>
  <c r="N56" i="45"/>
  <c r="J56" i="45"/>
  <c r="K56" i="45" s="1"/>
  <c r="O55" i="45"/>
  <c r="N55" i="45"/>
  <c r="J55" i="45"/>
  <c r="K55" i="45" s="1"/>
  <c r="O54" i="45"/>
  <c r="N54" i="45"/>
  <c r="J54" i="45"/>
  <c r="K54" i="45" s="1"/>
  <c r="O53" i="45"/>
  <c r="N53" i="45"/>
  <c r="J53" i="45"/>
  <c r="K53" i="45" s="1"/>
  <c r="O52" i="45"/>
  <c r="N52" i="45"/>
  <c r="J52" i="45"/>
  <c r="K52" i="45" s="1"/>
  <c r="O51" i="45"/>
  <c r="N51" i="45"/>
  <c r="J51" i="45"/>
  <c r="K51" i="45" s="1"/>
  <c r="O50" i="45"/>
  <c r="N50" i="45"/>
  <c r="J50" i="45"/>
  <c r="K50" i="45" s="1"/>
  <c r="O49" i="45"/>
  <c r="N49" i="45"/>
  <c r="J49" i="45"/>
  <c r="K49" i="45" s="1"/>
  <c r="O48" i="45"/>
  <c r="N48" i="45"/>
  <c r="J48" i="45"/>
  <c r="K48" i="45" s="1"/>
  <c r="O47" i="45"/>
  <c r="N47" i="45"/>
  <c r="J47" i="45"/>
  <c r="K47" i="45" s="1"/>
  <c r="O46" i="45"/>
  <c r="N46" i="45"/>
  <c r="J46" i="45"/>
  <c r="K46" i="45" s="1"/>
  <c r="O45" i="45"/>
  <c r="N45" i="45"/>
  <c r="J45" i="45"/>
  <c r="K45" i="45" s="1"/>
  <c r="O44" i="45"/>
  <c r="N44" i="45"/>
  <c r="J44" i="45"/>
  <c r="K44" i="45" s="1"/>
  <c r="O43" i="45"/>
  <c r="N43" i="45"/>
  <c r="J43" i="45"/>
  <c r="K43" i="45" s="1"/>
  <c r="O42" i="45"/>
  <c r="N42" i="45"/>
  <c r="J42" i="45"/>
  <c r="K42" i="45" s="1"/>
  <c r="O41" i="45"/>
  <c r="N41" i="45"/>
  <c r="J41" i="45"/>
  <c r="K41" i="45" s="1"/>
  <c r="O40" i="45"/>
  <c r="N40" i="45"/>
  <c r="J40" i="45"/>
  <c r="K40" i="45" s="1"/>
  <c r="O39" i="45"/>
  <c r="N39" i="45"/>
  <c r="J39" i="45"/>
  <c r="K39" i="45" s="1"/>
  <c r="O38" i="45"/>
  <c r="N38" i="45"/>
  <c r="J38" i="45"/>
  <c r="K38" i="45" s="1"/>
  <c r="O37" i="45"/>
  <c r="N37" i="45"/>
  <c r="J37" i="45"/>
  <c r="K37" i="45" s="1"/>
  <c r="O36" i="45"/>
  <c r="N36" i="45"/>
  <c r="J36" i="45"/>
  <c r="K36" i="45" s="1"/>
  <c r="O35" i="45"/>
  <c r="N35" i="45"/>
  <c r="J35" i="45"/>
  <c r="K35" i="45" s="1"/>
  <c r="O34" i="45"/>
  <c r="N34" i="45"/>
  <c r="J34" i="45"/>
  <c r="K34" i="45" s="1"/>
  <c r="O33" i="45"/>
  <c r="N33" i="45"/>
  <c r="J33" i="45"/>
  <c r="K33" i="45" s="1"/>
  <c r="O32" i="45"/>
  <c r="N32" i="45"/>
  <c r="J32" i="45"/>
  <c r="K32" i="45" s="1"/>
  <c r="O31" i="45"/>
  <c r="N31" i="45"/>
  <c r="J31" i="45"/>
  <c r="K31" i="45" s="1"/>
  <c r="O30" i="45"/>
  <c r="N30" i="45"/>
  <c r="J30" i="45"/>
  <c r="K30" i="45" s="1"/>
  <c r="O29" i="45"/>
  <c r="N29" i="45"/>
  <c r="J29" i="45"/>
  <c r="K29" i="45" s="1"/>
  <c r="O28" i="45"/>
  <c r="N28" i="45"/>
  <c r="J28" i="45"/>
  <c r="K28" i="45" s="1"/>
  <c r="O27" i="45"/>
  <c r="N27" i="45"/>
  <c r="J27" i="45"/>
  <c r="K27" i="45" s="1"/>
  <c r="O26" i="45"/>
  <c r="N26" i="45"/>
  <c r="J26" i="45"/>
  <c r="K26" i="45" s="1"/>
  <c r="O25" i="45"/>
  <c r="N25" i="45"/>
  <c r="J25" i="45"/>
  <c r="K25" i="45" s="1"/>
  <c r="O24" i="45"/>
  <c r="N24" i="45"/>
  <c r="J24" i="45"/>
  <c r="K24" i="45" s="1"/>
  <c r="O23" i="45"/>
  <c r="N23" i="45"/>
  <c r="J23" i="45"/>
  <c r="K23" i="45" s="1"/>
  <c r="O22" i="45"/>
  <c r="N22" i="45"/>
  <c r="J22" i="45"/>
  <c r="K22" i="45" s="1"/>
  <c r="O21" i="45"/>
  <c r="N21" i="45"/>
  <c r="J21" i="45"/>
  <c r="K21" i="45" s="1"/>
  <c r="O20" i="45"/>
  <c r="N20" i="45"/>
  <c r="J20" i="45"/>
  <c r="K20" i="45" s="1"/>
  <c r="O19" i="45"/>
  <c r="N19" i="45"/>
  <c r="J19" i="45"/>
  <c r="K19" i="45" s="1"/>
  <c r="O18" i="45"/>
  <c r="N18" i="45"/>
  <c r="J18" i="45"/>
  <c r="K18" i="45" s="1"/>
  <c r="O17" i="45"/>
  <c r="N17" i="45"/>
  <c r="J17" i="45"/>
  <c r="K17" i="45" s="1"/>
  <c r="O16" i="45"/>
  <c r="N16" i="45"/>
  <c r="J16" i="45"/>
  <c r="K16" i="45" s="1"/>
  <c r="O15" i="45"/>
  <c r="N15" i="45"/>
  <c r="J15" i="45"/>
  <c r="K15" i="45" s="1"/>
  <c r="O14" i="45"/>
  <c r="N14" i="45"/>
  <c r="J14" i="45"/>
  <c r="K14" i="45" s="1"/>
  <c r="O13" i="45"/>
  <c r="N13" i="45"/>
  <c r="J13" i="45"/>
  <c r="K13" i="45" s="1"/>
  <c r="O12" i="45"/>
  <c r="N12" i="45"/>
  <c r="J12" i="45"/>
  <c r="K12" i="45" s="1"/>
  <c r="O11" i="45"/>
  <c r="N11" i="45"/>
  <c r="J11" i="45"/>
  <c r="K11" i="45" s="1"/>
  <c r="O10" i="45"/>
  <c r="N10" i="45"/>
  <c r="J10" i="45"/>
  <c r="K10" i="45" s="1"/>
  <c r="O9" i="45"/>
  <c r="N9" i="45"/>
  <c r="J9" i="45"/>
  <c r="K9" i="45" s="1"/>
  <c r="O8" i="45"/>
  <c r="N8" i="45"/>
  <c r="J8" i="45"/>
  <c r="K8" i="45" s="1"/>
  <c r="O7" i="45"/>
  <c r="N7" i="45"/>
  <c r="J7" i="45"/>
  <c r="K7" i="45" s="1"/>
  <c r="O6" i="45"/>
  <c r="N6" i="45"/>
  <c r="J6" i="45"/>
  <c r="K6" i="45" s="1"/>
  <c r="O5" i="45"/>
  <c r="N5" i="45"/>
  <c r="J5" i="45"/>
  <c r="K5" i="45" s="1"/>
  <c r="O4" i="45"/>
  <c r="N4" i="45"/>
  <c r="J4" i="45"/>
  <c r="K4" i="45" s="1"/>
  <c r="O3" i="45"/>
  <c r="N3" i="45"/>
  <c r="J3" i="45"/>
  <c r="K3" i="45" s="1"/>
  <c r="I13" i="47" l="1"/>
  <c r="P27" i="45"/>
  <c r="Q27" i="45" s="1"/>
  <c r="P43" i="45"/>
  <c r="Q43" i="45" s="1"/>
  <c r="P6" i="45"/>
  <c r="Q6" i="45" s="1"/>
  <c r="P10" i="45"/>
  <c r="Q10" i="45" s="1"/>
  <c r="P14" i="45"/>
  <c r="Q14" i="45" s="1"/>
  <c r="P18" i="45"/>
  <c r="Q18" i="45" s="1"/>
  <c r="P31" i="45"/>
  <c r="Q31" i="45" s="1"/>
  <c r="P32" i="45"/>
  <c r="Q32" i="45" s="1"/>
  <c r="P33" i="45"/>
  <c r="Q33" i="45" s="1"/>
  <c r="P47" i="45"/>
  <c r="Q47" i="45" s="1"/>
  <c r="P48" i="45"/>
  <c r="Q48" i="45" s="1"/>
  <c r="P49" i="45"/>
  <c r="Q49" i="45" s="1"/>
  <c r="K305" i="45"/>
  <c r="P29" i="45"/>
  <c r="Q29" i="45" s="1"/>
  <c r="P45" i="45"/>
  <c r="Q45" i="45" s="1"/>
  <c r="P4" i="45"/>
  <c r="Q4" i="45" s="1"/>
  <c r="P8" i="45"/>
  <c r="Q8" i="45" s="1"/>
  <c r="P12" i="45"/>
  <c r="Q12" i="45" s="1"/>
  <c r="P16" i="45"/>
  <c r="Q16" i="45" s="1"/>
  <c r="P20" i="45"/>
  <c r="Q20" i="45" s="1"/>
  <c r="P36" i="45"/>
  <c r="Q36" i="45" s="1"/>
  <c r="P52" i="45"/>
  <c r="Q52" i="45" s="1"/>
  <c r="P60" i="45"/>
  <c r="Q60" i="45" s="1"/>
  <c r="K85" i="45"/>
  <c r="P28" i="45"/>
  <c r="Q28" i="45" s="1"/>
  <c r="P37" i="45"/>
  <c r="Q37" i="45" s="1"/>
  <c r="P39" i="45"/>
  <c r="Q39" i="45" s="1"/>
  <c r="P40" i="45"/>
  <c r="Q40" i="45" s="1"/>
  <c r="P41" i="45"/>
  <c r="Q41" i="45" s="1"/>
  <c r="P51" i="45"/>
  <c r="Q51" i="45" s="1"/>
  <c r="P59" i="45"/>
  <c r="Q59" i="45" s="1"/>
  <c r="P3" i="45"/>
  <c r="Q3" i="45" s="1"/>
  <c r="P5" i="45"/>
  <c r="Q5" i="45" s="1"/>
  <c r="P7" i="45"/>
  <c r="Q7" i="45" s="1"/>
  <c r="P9" i="45"/>
  <c r="Q9" i="45" s="1"/>
  <c r="P11" i="45"/>
  <c r="Q11" i="45" s="1"/>
  <c r="P13" i="45"/>
  <c r="Q13" i="45" s="1"/>
  <c r="P15" i="45"/>
  <c r="Q15" i="45" s="1"/>
  <c r="P17" i="45"/>
  <c r="Q17" i="45" s="1"/>
  <c r="P19" i="45"/>
  <c r="Q19" i="45" s="1"/>
  <c r="P22" i="45"/>
  <c r="Q22" i="45" s="1"/>
  <c r="P23" i="45"/>
  <c r="Q23" i="45" s="1"/>
  <c r="P24" i="45"/>
  <c r="Q24" i="45" s="1"/>
  <c r="P25" i="45"/>
  <c r="Q25" i="45" s="1"/>
  <c r="P35" i="45"/>
  <c r="Q35" i="45" s="1"/>
  <c r="P44" i="45"/>
  <c r="Q44" i="45" s="1"/>
  <c r="P53" i="45"/>
  <c r="Q53" i="45" s="1"/>
  <c r="P61" i="45"/>
  <c r="Q61" i="45" s="1"/>
  <c r="K352" i="45"/>
  <c r="K142" i="45"/>
  <c r="K197" i="45"/>
  <c r="P38" i="45"/>
  <c r="Q38" i="45" s="1"/>
  <c r="P62" i="45"/>
  <c r="Q62" i="45" s="1"/>
  <c r="P30" i="45"/>
  <c r="Q30" i="45" s="1"/>
  <c r="P46" i="45"/>
  <c r="Q46" i="45" s="1"/>
  <c r="P54" i="45"/>
  <c r="Q54" i="45" s="1"/>
  <c r="K360" i="45"/>
  <c r="P55" i="45"/>
  <c r="Q55" i="45" s="1"/>
  <c r="P56" i="45"/>
  <c r="Q56" i="45" s="1"/>
  <c r="P57" i="45"/>
  <c r="Q57" i="45" s="1"/>
  <c r="P63" i="45"/>
  <c r="Q63" i="45" s="1"/>
  <c r="P64" i="45"/>
  <c r="Q64" i="45" s="1"/>
  <c r="P65" i="45"/>
  <c r="Q65" i="45" s="1"/>
  <c r="K169" i="45"/>
  <c r="H7" i="48" s="1"/>
  <c r="H11" i="51" s="1"/>
  <c r="P26" i="45"/>
  <c r="Q26" i="45" s="1"/>
  <c r="P34" i="45"/>
  <c r="Q34" i="45" s="1"/>
  <c r="P42" i="45"/>
  <c r="Q42" i="45" s="1"/>
  <c r="P50" i="45"/>
  <c r="Q50" i="45" s="1"/>
  <c r="P58" i="45"/>
  <c r="Q58" i="45" s="1"/>
  <c r="P21" i="45"/>
  <c r="Q21" i="45" s="1"/>
  <c r="K67" i="45"/>
  <c r="H11" i="43" l="1"/>
  <c r="K364" i="45"/>
  <c r="K353" i="45"/>
  <c r="Q67" i="45"/>
  <c r="N69" i="45" s="1"/>
  <c r="H4" i="48" s="1"/>
  <c r="H5" i="51" l="1"/>
  <c r="I23" i="51" s="1"/>
  <c r="H5" i="43"/>
  <c r="I13" i="48"/>
  <c r="G20" i="43"/>
  <c r="G23" i="43" s="1"/>
  <c r="F16" i="43"/>
  <c r="H20" i="43" l="1"/>
  <c r="I20" i="43" l="1"/>
  <c r="H23" i="43"/>
  <c r="I23" i="43" s="1"/>
</calcChain>
</file>

<file path=xl/comments1.xml><?xml version="1.0" encoding="utf-8"?>
<comments xmlns="http://schemas.openxmlformats.org/spreadsheetml/2006/main">
  <authors>
    <author>Viraf  Boywala</author>
  </authors>
  <commentList>
    <comment ref="G41" authorId="0">
      <text>
        <r>
          <rPr>
            <b/>
            <sz val="9"/>
            <color indexed="81"/>
            <rFont val="Tahoma"/>
            <family val="2"/>
          </rPr>
          <t>Viraf  Boywala:</t>
        </r>
        <r>
          <rPr>
            <sz val="9"/>
            <color indexed="81"/>
            <rFont val="Tahoma"/>
            <family val="2"/>
          </rPr>
          <t xml:space="preserve">
old material code 1002441
</t>
        </r>
      </text>
    </comment>
  </commentList>
</comments>
</file>

<file path=xl/comments2.xml><?xml version="1.0" encoding="utf-8"?>
<comments xmlns="http://schemas.openxmlformats.org/spreadsheetml/2006/main">
  <authors>
    <author>Viraf  Boywala</author>
  </authors>
  <commentList>
    <comment ref="G73" authorId="0">
      <text>
        <r>
          <rPr>
            <b/>
            <sz val="9"/>
            <color indexed="81"/>
            <rFont val="Tahoma"/>
            <family val="2"/>
          </rPr>
          <t>Viraf  Boywala:</t>
        </r>
        <r>
          <rPr>
            <sz val="9"/>
            <color indexed="81"/>
            <rFont val="Tahoma"/>
            <family val="2"/>
          </rPr>
          <t xml:space="preserve">
old material code 1000873
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Viraf  Boywala:</t>
        </r>
        <r>
          <rPr>
            <sz val="9"/>
            <color indexed="81"/>
            <rFont val="Tahoma"/>
            <family val="2"/>
          </rPr>
          <t xml:space="preserve">
old material code 1002441
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>Viraf  Boywala:</t>
        </r>
        <r>
          <rPr>
            <sz val="9"/>
            <color indexed="81"/>
            <rFont val="Tahoma"/>
            <family val="2"/>
          </rPr>
          <t xml:space="preserve">
old material code 1002441
</t>
        </r>
      </text>
    </comment>
  </commentList>
</comments>
</file>

<file path=xl/sharedStrings.xml><?xml version="1.0" encoding="utf-8"?>
<sst xmlns="http://schemas.openxmlformats.org/spreadsheetml/2006/main" count="6971" uniqueCount="926">
  <si>
    <t>NOS</t>
  </si>
  <si>
    <t>Total MT old</t>
  </si>
  <si>
    <t>Total MT new</t>
  </si>
  <si>
    <t>Increase Yield</t>
  </si>
  <si>
    <t>Savins on Yield</t>
  </si>
  <si>
    <t>WRAPPER JO LIME SOAP 55G+10G MP 8MIC</t>
  </si>
  <si>
    <t>WRAPPER  JO LIME SOAP 55G 8MIC</t>
  </si>
  <si>
    <t>WRAPPER  JO LIME SOAP 100G 8MIC</t>
  </si>
  <si>
    <t>WRAPPER JO LIME SOAP 125G MP 8MIC</t>
  </si>
  <si>
    <t>WRAPPER JO LIME SOAP 65G SINGLES 8 MIC</t>
  </si>
  <si>
    <t>WRAPPER JO A&amp;C SOAP 125G MP 8MIC</t>
  </si>
  <si>
    <t>WRAPPER JO A&amp;C SOAP 55G+10G MP 8MIC</t>
  </si>
  <si>
    <t>WRAPPER BACTER SHIELD SOAP 60+10G SP NEW</t>
  </si>
  <si>
    <t>WRAPPER  JO A&amp;C SOAP 55G 8MIC</t>
  </si>
  <si>
    <t>WRAPPER  JO SANDAL SOAP 100G 8MIC</t>
  </si>
  <si>
    <t>WRAPPER  JO SANDAL SOAP 55G 8MIC</t>
  </si>
  <si>
    <t>WRAPPER JO P&amp;C SOAP 125G MP 8MIC</t>
  </si>
  <si>
    <t>WRAPPER JO P&amp;C SOAP 150G MP 8MIC</t>
  </si>
  <si>
    <t>WRAPPER  JO A&amp;C SOAP 100G 8MIC</t>
  </si>
  <si>
    <t>WRAPPER JO LIME SOAP 30G MINIS</t>
  </si>
  <si>
    <t>WRAPPER JO A&amp;C SOAP 30G MINIS</t>
  </si>
  <si>
    <t>Total</t>
  </si>
  <si>
    <t>Qty</t>
  </si>
  <si>
    <t>kg</t>
  </si>
  <si>
    <t>UOM</t>
  </si>
  <si>
    <t>NO</t>
  </si>
  <si>
    <t>NPP , Improvement in Cost Sheet</t>
  </si>
  <si>
    <t>JO Wrapper 14GSM</t>
  </si>
  <si>
    <t>Modern, Commercial Started</t>
  </si>
  <si>
    <t>No</t>
  </si>
  <si>
    <t>JO Shrink Film</t>
  </si>
  <si>
    <t>Jayanti Polymer</t>
  </si>
  <si>
    <t>Material</t>
  </si>
  <si>
    <t>order Qty</t>
  </si>
  <si>
    <t>Saving/Unit</t>
  </si>
  <si>
    <t>Total Savings/SKU</t>
  </si>
  <si>
    <t>Last Year Savings</t>
  </si>
  <si>
    <t>Supplier &amp; the detail of Savings</t>
  </si>
  <si>
    <t>QTY</t>
  </si>
  <si>
    <t>M</t>
  </si>
  <si>
    <t>M/s. Adhunik</t>
  </si>
  <si>
    <t>M/s. Griptight</t>
  </si>
  <si>
    <t>TOTAL PM SAVINGS</t>
  </si>
  <si>
    <t>WRAPPER  JO LIME SOAP 60G MP 8MIC</t>
  </si>
  <si>
    <t>WRAPPER JO HERBAL SOAP 30G MINIS</t>
  </si>
  <si>
    <t>Neko Online Packing &amp; Printing(30MT)</t>
  </si>
  <si>
    <t>MT</t>
  </si>
  <si>
    <t xml:space="preserve">JO, DOY, GADERAMA, Shrink  Sleeve </t>
  </si>
  <si>
    <t>CPD</t>
  </si>
  <si>
    <t>CMB</t>
  </si>
  <si>
    <t>Current price</t>
  </si>
  <si>
    <t>Earlier price</t>
  </si>
  <si>
    <t>Difference</t>
  </si>
  <si>
    <t>old consumption/MT</t>
  </si>
  <si>
    <t>New consumption/MT</t>
  </si>
  <si>
    <t>0.27,0.15, 0.17, 0.42</t>
  </si>
  <si>
    <t>0.9, 0.6 &amp;1.9 Yield Save</t>
  </si>
  <si>
    <t>BU</t>
  </si>
  <si>
    <t>Total :-</t>
  </si>
  <si>
    <t>WRAPPER BS TRANS FRESH SOAP 125G MP</t>
  </si>
  <si>
    <t>WRAPPER JO C&amp;O SOAP 125G MP</t>
  </si>
  <si>
    <t xml:space="preserve"> Current price 14GSM</t>
  </si>
  <si>
    <t>Old Price 17 GSM</t>
  </si>
  <si>
    <t>Total Saving Rate + Yield :-</t>
  </si>
  <si>
    <t>WRAPPER BS TRANS NATURAL SOAP 60G SIN</t>
  </si>
  <si>
    <t>WRAPPER JO C&amp;O SOAP 55 MP</t>
  </si>
  <si>
    <t>WRAPPER JO C&amp;O SOAP 100G MP</t>
  </si>
  <si>
    <t>BOPP FILM 210MM UNPR 20MIC</t>
  </si>
  <si>
    <t>BOPP Film 20micron</t>
  </si>
  <si>
    <t>Yield/MT Savings 1.6kg, 1.4kg &amp; 1.1kg</t>
  </si>
  <si>
    <t xml:space="preserve">Label BSHW 215ml </t>
  </si>
  <si>
    <t>Laxmi Pharma pack alternate vendor</t>
  </si>
  <si>
    <t>Old Price</t>
  </si>
  <si>
    <t>MAY2015-APR2016</t>
  </si>
  <si>
    <t>JUL2015-JUN2016</t>
  </si>
  <si>
    <t>AUG2015-JUL2016</t>
  </si>
  <si>
    <t>NOV2015-OCT2016</t>
  </si>
  <si>
    <t>SAVING Benefit</t>
  </si>
  <si>
    <t>WRAPPER BACTER SHIELD SOAP 34G NEW</t>
  </si>
  <si>
    <t>Purchase from Satguru</t>
  </si>
  <si>
    <t>BANDING TAPE,CFB JO A&amp;C SOAP 36MM</t>
  </si>
  <si>
    <t>BANDING TAPE,CFB JO LIME SOAP 36MM</t>
  </si>
  <si>
    <t>BANDING TAPE,CFB JO SANDAL SOAP 36MM</t>
  </si>
  <si>
    <t>BANDING TAPE JO COMMON SOAP 55GX3+2</t>
  </si>
  <si>
    <t>BANDING TAPE JO COMMON SOAP 55G+10GX4</t>
  </si>
  <si>
    <t>BANDING TAPE JO COMMON SOAP 125GX4 MRP75</t>
  </si>
  <si>
    <t>BANDING TAPE JO COMMON 100GX3+2 MRP 68</t>
  </si>
  <si>
    <t>Stiffner purchase from Satguru</t>
  </si>
  <si>
    <t>STIFFNER 77MM 115 BOARD + 10Μ POLY</t>
  </si>
  <si>
    <t>STIFFNER 72MM 115 BOARD + 10µ POLY</t>
  </si>
  <si>
    <t>STIFFNER 96MM 130 BOARD + 10Μ POLY</t>
  </si>
  <si>
    <t>STIFFNER 89MM 130 BOARD + 10Μ POLY</t>
  </si>
  <si>
    <t>STIFFNER  60MM 80 ARSR +10 POLY</t>
  </si>
  <si>
    <t>DOYCARE CARTON</t>
  </si>
  <si>
    <t>Jul2015-Jun2016</t>
  </si>
  <si>
    <t>OCT2015-SEP2016</t>
  </si>
  <si>
    <t>11.4 &amp; Yield Save</t>
  </si>
  <si>
    <t>M/s. Ujwal Cost Sheet Imrovement</t>
  </si>
  <si>
    <t>FEB2016-Jan2017</t>
  </si>
  <si>
    <t>BOPP Tape, Banding Tape</t>
  </si>
  <si>
    <t>2.08,4.92 &amp;6.14/Roll</t>
  </si>
  <si>
    <t>M/s. SATUGURU ENGRAURE</t>
  </si>
  <si>
    <t xml:space="preserve">Stiffener </t>
  </si>
  <si>
    <t>1.4, 1.45 &amp; 5.81</t>
  </si>
  <si>
    <t>Label DOY Face Wash</t>
  </si>
  <si>
    <t>0.11, 0.27 &amp; 0.32</t>
  </si>
  <si>
    <t>M/s. Laxmi Pharmapack</t>
  </si>
  <si>
    <t>COB</t>
  </si>
  <si>
    <t>STIFFNER 74MM 115 BOARD + 10µ POLY</t>
  </si>
  <si>
    <t>BANDING TAPE CFB JO NAT SOAP 36MM</t>
  </si>
  <si>
    <t>BANDING TAPE JO COMMON SOAP 150GX4 MRP96</t>
  </si>
  <si>
    <t>BOPP TAPE VVF PRINTED 48 MM</t>
  </si>
  <si>
    <t>BANDING TAPE JO COMMON SOAP 60G X5</t>
  </si>
  <si>
    <t>WRAPPER JO R&amp;C SOAP 100G MP</t>
  </si>
  <si>
    <t>WRAPPER JO R&amp;C SOAP 55G MP</t>
  </si>
  <si>
    <t>WRAPPER JO LIME SOAP 150G MP 8MIC</t>
  </si>
  <si>
    <t>WRAPPER JO A&amp;C SOAP 150G MP 8MIC</t>
  </si>
  <si>
    <t xml:space="preserve">0.072,0.078, 0.005, 0.01,0.02, .05 </t>
  </si>
  <si>
    <t>CARTON DC HONEY SOAP 125G SIN NEW</t>
  </si>
  <si>
    <t>CARTON AVELIA SOAP 75GX3 MP</t>
  </si>
  <si>
    <t>CARTON DC ALOE VERA SOAP 75GX4 RP</t>
  </si>
  <si>
    <t>WRAPPER BACTER SHIELD NT SOAP 34G 8MIC</t>
  </si>
  <si>
    <t>WRAPPER JO A&amp;C SOAP 125G SP 8MIC</t>
  </si>
  <si>
    <t>WRAPPER GRACE SOAP 150G MP</t>
  </si>
  <si>
    <t>BANDING TAPE CFB JO C&amp;O SOAP 36MM</t>
  </si>
  <si>
    <t>BANDING TAPE CFB JO R&amp;C SOAP 36MM</t>
  </si>
  <si>
    <t>BANDING TAPE GRACE SOAP 150GX3</t>
  </si>
  <si>
    <t>BOPP FILM 170MM UNPR 20MIC</t>
  </si>
  <si>
    <t>saving on forward coverage</t>
  </si>
  <si>
    <t>CFB BACTER SHIELD SOAP 125G</t>
  </si>
  <si>
    <t>CFB DC AV/ H&amp;G SOAP 125G CP</t>
  </si>
  <si>
    <t>CFB JO COMMON SOAP 60G X5 WP</t>
  </si>
  <si>
    <t>CFB JO COMMON SOAP 125G WP</t>
  </si>
  <si>
    <t>CFB DC COMMON SOAP 50G CP</t>
  </si>
  <si>
    <t>CFB  BACTER SHIELD SOAP 70G</t>
  </si>
  <si>
    <t>CFB JO COMMON SOAP 30G WP 3PLY</t>
  </si>
  <si>
    <t>CFB JO COMMON SOAP 55GX3+2 WP</t>
  </si>
  <si>
    <t>CFB DOY TRANSPARENT SOAP 125GX3 DP COM</t>
  </si>
  <si>
    <t>CFB JO COMMON SOAP 55G+10G WP</t>
  </si>
  <si>
    <t>CFB JO COMMON SOAP 80G WP</t>
  </si>
  <si>
    <t>CFB BS TRANSLUNENT SOAP 125G COMMON</t>
  </si>
  <si>
    <t>CFB JO COMMON 100G X 3+2 WP</t>
  </si>
  <si>
    <t>CFB DOY KIDS COMMON 75G PACK OF 3</t>
  </si>
  <si>
    <t>CFB DEW SOAP 100GX3 CT</t>
  </si>
  <si>
    <t>CFB AVELIA SOAP 75GX3 MP</t>
  </si>
  <si>
    <t>revised price</t>
  </si>
  <si>
    <t>Forward cover from Riya</t>
  </si>
  <si>
    <t>Forward cover from Bhagwati</t>
  </si>
  <si>
    <t>CFB JO COMMON SOAP 65G WP</t>
  </si>
  <si>
    <t>CFB BACTER SHIELD SOAP 34G WP 3PLY</t>
  </si>
  <si>
    <t>CFB DC AV/ H&amp;G SOAP 125G DP</t>
  </si>
  <si>
    <t>CFB JO COMMON SOAP 150G WP</t>
  </si>
  <si>
    <t>CFB Forward Cover</t>
  </si>
  <si>
    <t>For April</t>
  </si>
  <si>
    <t>Forward cover of Stiffner from Adhunik</t>
  </si>
  <si>
    <t>STIFFNER 88MM 115 BOARD + 10Μ POLY</t>
  </si>
  <si>
    <t>STIFFNER 74MM 130 ASR +14 POLY</t>
  </si>
  <si>
    <t>STIFFNER 88MM 130 ASR +14 POLY</t>
  </si>
  <si>
    <t>STIFFNER 80MM 130 BOARD + 10Μ</t>
  </si>
  <si>
    <t>STIFFNER 94MM 175 BOARD + 10Μ POLY</t>
  </si>
  <si>
    <t>STIFFNER 80MM 175 BOARD + 10 Μ POLY</t>
  </si>
  <si>
    <t>STIFFNER 97MM 175 BOARD + 10 Μ POLY</t>
  </si>
  <si>
    <t>APRIL,MAY, JUNE2016</t>
  </si>
  <si>
    <t>Adhunik &amp; Arihant</t>
  </si>
  <si>
    <t>RIYA &amp; Shree Bhagvati</t>
  </si>
  <si>
    <t>Stiffener FWD Cover</t>
  </si>
  <si>
    <t>Purchase from Adhunik wrapper in place of MPC</t>
  </si>
  <si>
    <t>code</t>
  </si>
  <si>
    <t>Plant</t>
  </si>
  <si>
    <t>Description</t>
  </si>
  <si>
    <t>Adhunik price</t>
  </si>
  <si>
    <t>MPC price</t>
  </si>
  <si>
    <t>GRN no</t>
  </si>
  <si>
    <t>WRAPPER JO A&amp;C SOAP 65G SINGLES 8 MIC</t>
  </si>
  <si>
    <t>WRAPPER  JO HERBAL SOAP 55G 8MIC</t>
  </si>
  <si>
    <t>WRAPPER  JO HERBAL SOAP 100G 8MIC</t>
  </si>
  <si>
    <t>BOPP FILM MEDSOP SOAP 75G</t>
  </si>
  <si>
    <t>WRAPPER  JO A&amp;C SOAP 60G MP 8MIC</t>
  </si>
  <si>
    <t>WRAPPER  JO SANDAL SOAP 60G MP 8MIC</t>
  </si>
  <si>
    <t>WRAPPER JO P&amp;C SOAP 55G MP</t>
  </si>
  <si>
    <t>WRAPPER JO SANDAL SOAP 125G MP 8MIC</t>
  </si>
  <si>
    <t>WRAPPER JO HERBAL SOAP 55G+10G MP 8MIC</t>
  </si>
  <si>
    <t>WRAPPER JO P&amp;C SOAP 55G+10G MP 8MIC</t>
  </si>
  <si>
    <t>WRAPPER JO SANDAL SOAP 55G+10G MP 8MIC</t>
  </si>
  <si>
    <t>WRAPPER JO R&amp;C SOAP 125G MP</t>
  </si>
  <si>
    <t>WRAPPER DOY PC PINK SOAP 70G SP</t>
  </si>
  <si>
    <t>WRAPPER DOY PC WHITE SOAP 70G SP</t>
  </si>
  <si>
    <t>WRAPPER DOY PC ALOE FRESH SOAP 70G SP</t>
  </si>
  <si>
    <t>WRAPPER DOY PC PINK SOAP 125G MP</t>
  </si>
  <si>
    <t>WRAPPER DOY PC WHITE SOAP 125G MP</t>
  </si>
  <si>
    <t>WRAPPER DOY PC ALOE FRESH SOAP 125G MP</t>
  </si>
  <si>
    <t>WRAPPER AYURMIX SOAP 125G MP</t>
  </si>
  <si>
    <t>Old price</t>
  </si>
  <si>
    <t>BANDING TAPE,CFB JO P&amp;C SOAP 36MM</t>
  </si>
  <si>
    <t>BOPP TAPE DC MILK&amp;CREAM SOAP 48MM</t>
  </si>
  <si>
    <t>BOPP TAPE DOY PC SILK SOFT 48MM</t>
  </si>
  <si>
    <t>BOPP TAPE DOY PC SATIN TOUCH 48MM</t>
  </si>
  <si>
    <t>BOPP TAPE DOY PC ALOEFRESH 48MM</t>
  </si>
  <si>
    <t>BANDING TAPE AYURMIX SOAP 125GX3</t>
  </si>
  <si>
    <t>BOPP TAPE BS ULTRA BALANCE 48MM</t>
  </si>
  <si>
    <t>BOPP TAPE BS ULTRA FRESH 48MM</t>
  </si>
  <si>
    <t>BOPP TAPE BS ULTRA NATURALS 48MM</t>
  </si>
  <si>
    <t>Stiffner purchase from Satguru as compared to Adhunik</t>
  </si>
  <si>
    <t>Forward cover from Satguru</t>
  </si>
  <si>
    <t>CFB JO COMMON SOAP 100G WP</t>
  </si>
  <si>
    <t>CFB DOY TRANSPARENT SOAP 75G CP COM</t>
  </si>
  <si>
    <t>CFB DC MCSG SOAP COMMON 75G</t>
  </si>
  <si>
    <t>Rate difference from Ujwal for LD film by changing the cost model</t>
  </si>
  <si>
    <t>GRN No</t>
  </si>
  <si>
    <t>Revised rate</t>
  </si>
  <si>
    <t>Old rate</t>
  </si>
  <si>
    <t>SHRINK FILM JO COMMON SOAP 30G UNPRIN</t>
  </si>
  <si>
    <t>SHRINK FILM JO COMMON SOAP 30G PRT 60TFM</t>
  </si>
  <si>
    <t>Total :_</t>
  </si>
  <si>
    <t>Total Saving :-</t>
  </si>
  <si>
    <t>STIFFNER 82MM 130 BOARD + 10Μ POLY</t>
  </si>
  <si>
    <t>Forward cover of May</t>
  </si>
  <si>
    <t>5.8,7.8</t>
  </si>
  <si>
    <t>May 2015 -April 2016</t>
  </si>
  <si>
    <t>Online Printing Oriflame carton</t>
  </si>
  <si>
    <t>Gr no</t>
  </si>
  <si>
    <t>plant</t>
  </si>
  <si>
    <t>qty</t>
  </si>
  <si>
    <t>market price of April</t>
  </si>
  <si>
    <t>STIFFENER 60MM 115 ARSR + 10 POLY</t>
  </si>
  <si>
    <t>Forward cover of Stiffner from Arihant</t>
  </si>
  <si>
    <t>Cartons &amp; Insert Labels</t>
  </si>
  <si>
    <t>SAP Code</t>
  </si>
  <si>
    <t>Material Description</t>
  </si>
  <si>
    <t>Qty Received</t>
  </si>
  <si>
    <t>Board Optimization &amp; reduction in Wastage</t>
  </si>
  <si>
    <t>Net Saving/unit</t>
  </si>
  <si>
    <t>Total Savings.</t>
  </si>
  <si>
    <t>Total Savings</t>
  </si>
  <si>
    <t>Net Savings</t>
  </si>
  <si>
    <t>Forward Cover of APRIL</t>
  </si>
  <si>
    <t>Net Savings Reduction in GSM &amp; Yield</t>
  </si>
  <si>
    <t xml:space="preserve">New cost/kg  for April </t>
  </si>
  <si>
    <t>Forward Cover Cost  APRIL</t>
  </si>
  <si>
    <t>Net Savings/kg</t>
  </si>
  <si>
    <t>Total Saving</t>
  </si>
  <si>
    <t>April Price</t>
  </si>
  <si>
    <t>Net Ben. Frd Cover</t>
  </si>
  <si>
    <t>Savings/CFB</t>
  </si>
  <si>
    <t>Net Savings/con</t>
  </si>
  <si>
    <t>Value</t>
  </si>
  <si>
    <t>Frd Price</t>
  </si>
  <si>
    <t>New Price</t>
  </si>
  <si>
    <t>Frd Cov Price</t>
  </si>
  <si>
    <t>Total Stiffener FRD Cover</t>
  </si>
  <si>
    <t>SavingINR</t>
  </si>
  <si>
    <t>Total CFB Frd Cover</t>
  </si>
  <si>
    <t>Forward Cover of May</t>
  </si>
  <si>
    <t>New cost/kg  for May</t>
  </si>
  <si>
    <t>Forward Cover Cost  May</t>
  </si>
  <si>
    <t>Stiffener FRD Cover</t>
  </si>
  <si>
    <t>Savings</t>
  </si>
  <si>
    <t>May 2016-April 2016</t>
  </si>
  <si>
    <t>Savings APRIL2016</t>
  </si>
  <si>
    <t>Savings MAY 2016</t>
  </si>
  <si>
    <t>May 2016 -April 2017</t>
  </si>
  <si>
    <t>29.06.2016</t>
  </si>
  <si>
    <t>HR61C2704/28031</t>
  </si>
  <si>
    <t>01.06.2016</t>
  </si>
  <si>
    <t>HP12E8818/27860</t>
  </si>
  <si>
    <t>24.06.2016</t>
  </si>
  <si>
    <t>HR61A6665/27969</t>
  </si>
  <si>
    <t>HP12F8818/27860</t>
  </si>
  <si>
    <t>28.06.2016</t>
  </si>
  <si>
    <t>BOPP TAPE DC ALOE VERA SOAP 48MM</t>
  </si>
  <si>
    <t>10.06.2016</t>
  </si>
  <si>
    <t>07.06.2016</t>
  </si>
  <si>
    <t>17.06.2016</t>
  </si>
  <si>
    <t>02.06.2016</t>
  </si>
  <si>
    <t>BOPP TAPE SOFTSENS PRINT 48MM</t>
  </si>
  <si>
    <t>Stiffner purchase from Satguru as compared to Adhunik and forward cover of Satguru</t>
  </si>
  <si>
    <t>Satguru Price</t>
  </si>
  <si>
    <t>June Satguru Price</t>
  </si>
  <si>
    <t>Net Total :-</t>
  </si>
  <si>
    <t>New cost/kg  for June</t>
  </si>
  <si>
    <t>Forward Cover Cost  June</t>
  </si>
  <si>
    <t>CO-EX TUBE DOY CARE ALOE VERA FW 100ML</t>
  </si>
  <si>
    <t>STICKER DOY CARE TEMPER PROOF</t>
  </si>
  <si>
    <t>Total:-</t>
  </si>
  <si>
    <t>CARTON DC AV SOAP 125GX4 DIS PK WOMC</t>
  </si>
  <si>
    <t>CARTON DC C SOAP 125GX4 DIS PK WOMC</t>
  </si>
  <si>
    <t>Tempered proof labeled purchased with alternate specs and supplier as against decided by marketing and Packaging dept.</t>
  </si>
  <si>
    <t>125X4 Display pack cartons purchased with revised specs in view of removal of individual cartons</t>
  </si>
  <si>
    <t>Removal of Individual cartons in case of 125X4 Display pack cartons</t>
  </si>
  <si>
    <t>Qty of Display carton</t>
  </si>
  <si>
    <t>Qty of indivudual carton</t>
  </si>
  <si>
    <t>rate for indivudual carton</t>
  </si>
  <si>
    <t xml:space="preserve">ORIFLAME </t>
  </si>
  <si>
    <t>TOTAL NO. OF CARTON</t>
  </si>
  <si>
    <t>NEKO</t>
  </si>
  <si>
    <t>NO. MT</t>
  </si>
  <si>
    <t>COST/MT</t>
  </si>
  <si>
    <t>44.6/1000</t>
  </si>
  <si>
    <t>Savings JUNE 2016</t>
  </si>
  <si>
    <t>JUN2016-MAY2017</t>
  </si>
  <si>
    <t>DCFW Tube</t>
  </si>
  <si>
    <t>Label M/s. Laxmi Pharma</t>
  </si>
  <si>
    <t>561/1000</t>
  </si>
  <si>
    <t>3000/MT</t>
  </si>
  <si>
    <t>Neko Online Packing &amp; Printing(92.7MT)</t>
  </si>
  <si>
    <t>DOY Temperproof Sticker</t>
  </si>
  <si>
    <t>34/1000</t>
  </si>
  <si>
    <t>5.8,7.3</t>
  </si>
  <si>
    <t>May2016-APR2017</t>
  </si>
  <si>
    <t>Carton DOYCARE125X4MP</t>
  </si>
  <si>
    <t>Carton DOYCARE125X4MP (S)</t>
  </si>
  <si>
    <t>Reduction in Size for Elimination of 125gS Carton</t>
  </si>
  <si>
    <t>Elimination of 125gS Carton</t>
  </si>
  <si>
    <t>May 2016-April 2017</t>
  </si>
  <si>
    <t>M/s. Encana</t>
  </si>
  <si>
    <t>Elimination of Inner Carton</t>
  </si>
  <si>
    <t>DOYCARE 125X4 MP CARTON</t>
  </si>
  <si>
    <t>DOYCARE 125X4g Single CARTON</t>
  </si>
  <si>
    <t>Reduction in Size</t>
  </si>
  <si>
    <t>GTO-Pack</t>
  </si>
  <si>
    <t>Cartons/MT</t>
  </si>
  <si>
    <t>No. Carton for ABP</t>
  </si>
  <si>
    <t>ABP (MT)</t>
  </si>
  <si>
    <t>CFB</t>
  </si>
  <si>
    <t>Volume Discount Riya</t>
  </si>
  <si>
    <t>Banding Tape</t>
  </si>
  <si>
    <t>Volume Discount D.K</t>
  </si>
  <si>
    <t>FY2015-16</t>
  </si>
  <si>
    <t>Temperproof Label</t>
  </si>
  <si>
    <t>Label/MT</t>
  </si>
  <si>
    <t>No. Label for ABP</t>
  </si>
  <si>
    <t>01.04.2016</t>
  </si>
  <si>
    <t>HP12A5092/726843670</t>
  </si>
  <si>
    <t>SHRINK SLEEVE DC COMMON 75GX4 UN PRINT</t>
  </si>
  <si>
    <t>2120/26.03.16</t>
  </si>
  <si>
    <t>VVF INDIA LIMITED-BADDI</t>
  </si>
  <si>
    <t>GR into blocked stck</t>
  </si>
  <si>
    <t>TCI XPS</t>
  </si>
  <si>
    <t>B</t>
  </si>
  <si>
    <t>S</t>
  </si>
  <si>
    <t>WE</t>
  </si>
  <si>
    <t>INR</t>
  </si>
  <si>
    <t>114SECU002</t>
  </si>
  <si>
    <t>07.05.2016</t>
  </si>
  <si>
    <t>HP12A5092/726641543</t>
  </si>
  <si>
    <t>SHRINK SLEEVE CANDID SOAP 100GX6</t>
  </si>
  <si>
    <t>198/30.04.16</t>
  </si>
  <si>
    <t>TCI XPRESS</t>
  </si>
  <si>
    <t>18.05.2016</t>
  </si>
  <si>
    <t>Grip Tight Packaging (I)</t>
  </si>
  <si>
    <t>PVC SLEEVE BS HAND WASH 215ML (SHRINK)</t>
  </si>
  <si>
    <t>19.05.2016</t>
  </si>
  <si>
    <t>VVF INDIA LIMITED-DAMAN</t>
  </si>
  <si>
    <t>14.05.2016</t>
  </si>
  <si>
    <t>GJ 15 XX 5725</t>
  </si>
  <si>
    <t>112SECU001</t>
  </si>
  <si>
    <t>HP12A5092/726641860</t>
  </si>
  <si>
    <t>218/05.05.16</t>
  </si>
  <si>
    <t>HP642498/100001335908</t>
  </si>
  <si>
    <t>436/31.06.16</t>
  </si>
  <si>
    <t>DTDC COUROER</t>
  </si>
  <si>
    <t>HP12A8503/100001335921</t>
  </si>
  <si>
    <t>SHRINK SLEEVE DC COMMON SOAP 50G X12</t>
  </si>
  <si>
    <t>588/18.06.16</t>
  </si>
  <si>
    <t>DTDC COURIER</t>
  </si>
  <si>
    <t>30.06.2016</t>
  </si>
  <si>
    <t>COURIER/0221516</t>
  </si>
  <si>
    <t>SHRINK SLEEVE CANDID SOAP 50GX6</t>
  </si>
  <si>
    <t>624/23.06.16</t>
  </si>
  <si>
    <t>CARGO 365</t>
  </si>
  <si>
    <t>AUG2015-JUL2016        APR-2016-MAR2016</t>
  </si>
  <si>
    <t>13.07.2016</t>
  </si>
  <si>
    <t>HP15-8963</t>
  </si>
  <si>
    <t>02.07.2016</t>
  </si>
  <si>
    <t>HP15 8963</t>
  </si>
  <si>
    <t>19.07.2016</t>
  </si>
  <si>
    <t>30.07.2016</t>
  </si>
  <si>
    <t>Total :</t>
  </si>
  <si>
    <t>21.07.2016</t>
  </si>
  <si>
    <t>CH01TA5478</t>
  </si>
  <si>
    <t>08.07.2016</t>
  </si>
  <si>
    <t>HR68B0185</t>
  </si>
  <si>
    <t>15.07.2016</t>
  </si>
  <si>
    <t>HP12H2702</t>
  </si>
  <si>
    <t>01.07.2016</t>
  </si>
  <si>
    <t>HR68B0185/132</t>
  </si>
  <si>
    <t>26.07.2016</t>
  </si>
  <si>
    <t>04.07.2016</t>
  </si>
  <si>
    <t>CH01TA 5478</t>
  </si>
  <si>
    <t>BANDING TAPE BS TRANS SOAP 125GX4 MRP95</t>
  </si>
  <si>
    <t>GRN date</t>
  </si>
  <si>
    <t>HP12D3247/29753</t>
  </si>
  <si>
    <t>KG</t>
  </si>
  <si>
    <t>24.07.2016</t>
  </si>
  <si>
    <t>HP123852/19396</t>
  </si>
  <si>
    <t>16.07.2016</t>
  </si>
  <si>
    <t>HP12E2030/17635</t>
  </si>
  <si>
    <t>HP12A5032/28552</t>
  </si>
  <si>
    <t>05.07.2016</t>
  </si>
  <si>
    <t>HP12F5733/12516</t>
  </si>
  <si>
    <t>HP12A8846/28588</t>
  </si>
  <si>
    <t>HP12A5353/28732</t>
  </si>
  <si>
    <t>Current price of July</t>
  </si>
  <si>
    <t>Forward cover as on Feb</t>
  </si>
  <si>
    <t>CO-EX TUBE DOY CARE ALOE VERA FW 50ML</t>
  </si>
  <si>
    <t>22.07.2016</t>
  </si>
  <si>
    <t>27.07.2016</t>
  </si>
  <si>
    <t>CO-EX TUBE M&amp;C NEEM FACE WASH 150ML</t>
  </si>
  <si>
    <t>29.07.2016</t>
  </si>
  <si>
    <t>LABEL AYURMIX 125GX3 MRP 90</t>
  </si>
  <si>
    <t>Saving on changing the label supplier from Laxmi in place of Interlabel</t>
  </si>
  <si>
    <t>200216     SHREE VIKAS PACKAGING</t>
  </si>
  <si>
    <t>AH</t>
  </si>
  <si>
    <t>XXXX</t>
  </si>
  <si>
    <t>CFB KEEFE SOAP 142G FW</t>
  </si>
  <si>
    <t>203106     PIONEER PACKAGING INDUSTRIES PVT. L</t>
  </si>
  <si>
    <t>XX X</t>
  </si>
  <si>
    <t>16 &amp; Yield Save</t>
  </si>
  <si>
    <t>DCFW Tube, Neem M&amp;C</t>
  </si>
  <si>
    <t>205/1000, 561/1000</t>
  </si>
  <si>
    <t>DOY Temperproof Sticker, Ayurmix</t>
  </si>
  <si>
    <t>July2016-Jun2017</t>
  </si>
  <si>
    <t>CFB Keefe</t>
  </si>
  <si>
    <t>M/s. Pioneer</t>
  </si>
  <si>
    <t>Jul2016-JUN2017</t>
  </si>
  <si>
    <t>Containerisation</t>
  </si>
  <si>
    <t>14.18 INR/no.</t>
  </si>
  <si>
    <t>container</t>
  </si>
  <si>
    <t>8 Pallets/Container</t>
  </si>
  <si>
    <t>More stuffing/Pallet</t>
  </si>
  <si>
    <t>Adhunik</t>
  </si>
  <si>
    <t>Volume Discount Shree Bhagvati</t>
  </si>
  <si>
    <t>Savings JULY 2016</t>
  </si>
  <si>
    <t>34/1000, 19/1000</t>
  </si>
  <si>
    <t>CFB Riya</t>
  </si>
  <si>
    <t>CFB Shree Bhagvati</t>
  </si>
  <si>
    <t>Date</t>
  </si>
  <si>
    <t>MRN</t>
  </si>
  <si>
    <t>Code</t>
  </si>
  <si>
    <t>description</t>
  </si>
  <si>
    <t>current rate</t>
  </si>
  <si>
    <t>rate as per earlier</t>
  </si>
  <si>
    <t xml:space="preserve">difference </t>
  </si>
  <si>
    <t>total</t>
  </si>
  <si>
    <t>14.07.2016</t>
  </si>
  <si>
    <t>HP12A8503/100001405813</t>
  </si>
  <si>
    <t>20.07.2016</t>
  </si>
  <si>
    <t>HP12A8503/100001405834</t>
  </si>
  <si>
    <t>SHRINK SLEEVE JO COMMON SOAP 100GX8</t>
  </si>
  <si>
    <t>HP12A8503/100001405818</t>
  </si>
  <si>
    <t>Adhunik price difference between 14GSM and 17 GSM  Hotmelt</t>
  </si>
  <si>
    <t>12.08.2016</t>
  </si>
  <si>
    <t>10.08.2016</t>
  </si>
  <si>
    <t>HP641912</t>
  </si>
  <si>
    <t>30.08.2016</t>
  </si>
  <si>
    <t>HP74-1912</t>
  </si>
  <si>
    <t>09.08.2016</t>
  </si>
  <si>
    <t>04.08.2016</t>
  </si>
  <si>
    <t>08.08.2016</t>
  </si>
  <si>
    <t>HR681694/13982</t>
  </si>
  <si>
    <t>27.08.2016</t>
  </si>
  <si>
    <t>WRAPPER JO LIME SOAP 100G MP NEWNAG</t>
  </si>
  <si>
    <t>HP158963</t>
  </si>
  <si>
    <t>Adhunik Price</t>
  </si>
  <si>
    <t>MPC Price</t>
  </si>
  <si>
    <t>Diff</t>
  </si>
  <si>
    <t>Old price(D K)</t>
  </si>
  <si>
    <t>22.08.2016</t>
  </si>
  <si>
    <t>BY PARTY</t>
  </si>
  <si>
    <t>07.08.2016</t>
  </si>
  <si>
    <t>23.08.2016</t>
  </si>
  <si>
    <t>BANDING TAPE JO 100GX4+JO60G MRP 68</t>
  </si>
  <si>
    <t>06.08.2016</t>
  </si>
  <si>
    <t>28.08.2016</t>
  </si>
  <si>
    <t>BANDING TAPE JO 50GX5 MRP 30</t>
  </si>
  <si>
    <t>25.08.2016</t>
  </si>
  <si>
    <t>17.08.2016</t>
  </si>
  <si>
    <t>19.08.2016</t>
  </si>
  <si>
    <t>HR56B0185</t>
  </si>
  <si>
    <t>03.08.2016</t>
  </si>
  <si>
    <t>BOPP TAPE -PLAIN 36 MM X 65 MTR</t>
  </si>
  <si>
    <t>BOPP TAPE DC HONEY SOAP 48MM</t>
  </si>
  <si>
    <t>BOPP TAPE VVF PRIN 48MM STRNG ADHSIV</t>
  </si>
  <si>
    <t>24.08.2016</t>
  </si>
  <si>
    <t>STIFFNER 70 MM 115/10 GSM</t>
  </si>
  <si>
    <t>HP12A5654</t>
  </si>
  <si>
    <t>26.08.2016</t>
  </si>
  <si>
    <t>HP12G1363/13276</t>
  </si>
  <si>
    <t>20.08.2016</t>
  </si>
  <si>
    <t>HP125654</t>
  </si>
  <si>
    <t>16.08.2016</t>
  </si>
  <si>
    <t>05.08.2016</t>
  </si>
  <si>
    <t>HP12A6147/29955</t>
  </si>
  <si>
    <t>HP12A8846/29891</t>
  </si>
  <si>
    <t>HP12E3444/17503</t>
  </si>
  <si>
    <t>HP12E1500/18733</t>
  </si>
  <si>
    <t>29.08.2016</t>
  </si>
  <si>
    <t>HP12D5286</t>
  </si>
  <si>
    <t>HP640714/19647</t>
  </si>
  <si>
    <t xml:space="preserve">Total </t>
  </si>
  <si>
    <t>Final Total :-</t>
  </si>
  <si>
    <t>BANDING LABEL DCAV FW 50ML+50ML</t>
  </si>
  <si>
    <t>BANDING LABEL DCAV FW 100ML+100ML</t>
  </si>
  <si>
    <t>SHIRNK SLEEVE CANDID SOAP 125GMX6</t>
  </si>
  <si>
    <t>total saving</t>
  </si>
  <si>
    <t>saving/rol(650M)</t>
  </si>
  <si>
    <t>Price 650M</t>
  </si>
  <si>
    <t>Price @ 325M</t>
  </si>
  <si>
    <t>Total saving</t>
  </si>
  <si>
    <t>01.08.2016</t>
  </si>
  <si>
    <t>BOPP FILM 164MM UNPR 20MIC</t>
  </si>
  <si>
    <t>BOPP FILM 190MM UNPR 20MIC</t>
  </si>
  <si>
    <t>earlier consumption</t>
  </si>
  <si>
    <t>revised consumption</t>
  </si>
  <si>
    <t>MT (earlier)</t>
  </si>
  <si>
    <t>MT (revised)</t>
  </si>
  <si>
    <t>difference (MT)</t>
  </si>
  <si>
    <t>KG saved agnst total reced qty</t>
  </si>
  <si>
    <t>price/kg</t>
  </si>
  <si>
    <t>Recd date</t>
  </si>
  <si>
    <t>nos</t>
  </si>
  <si>
    <t>AUG2015-JUL2016        APR-2016-MAR2017</t>
  </si>
  <si>
    <t xml:space="preserve">AUG2016-JUL2017       </t>
  </si>
  <si>
    <t xml:space="preserve"> DOY, GADERAMA, Shrink  Sleeve </t>
  </si>
  <si>
    <t>FEB2016-Jan2017           AUG2016-JUL2017</t>
  </si>
  <si>
    <t>07,08,09</t>
  </si>
  <si>
    <t>Savings AUG 2016</t>
  </si>
  <si>
    <t>CARTON DC AV DCC SOAP 125GX4 DIS PK WOMC</t>
  </si>
  <si>
    <t>CARTON DC AV SOAP 125G</t>
  </si>
  <si>
    <t>20.09.2016</t>
  </si>
  <si>
    <t>WRAPPER JO LIME SOAP 30G MINI NEWNAG</t>
  </si>
  <si>
    <t>04.09.2016</t>
  </si>
  <si>
    <t>WRAPPER JO LIME 55G + 10G MP NEWNAG</t>
  </si>
  <si>
    <t>30.09.2016</t>
  </si>
  <si>
    <t>WRAPPER JO A&amp;C SOAP 30G MINI NEWNAG</t>
  </si>
  <si>
    <t>13.09.2016</t>
  </si>
  <si>
    <t>Tota</t>
  </si>
  <si>
    <t>09.09.2016</t>
  </si>
  <si>
    <t>BOPP TAPE DC CREME SOAP 48MM</t>
  </si>
  <si>
    <t>16.09.2016</t>
  </si>
  <si>
    <t>22.09.2016</t>
  </si>
  <si>
    <t>03.09.2016</t>
  </si>
  <si>
    <t>27.09.2016</t>
  </si>
  <si>
    <t>BANDING TAPE JO COM SOAP 125GX4 MRP80</t>
  </si>
  <si>
    <t>19.09.2016</t>
  </si>
  <si>
    <t>14.09.2016</t>
  </si>
  <si>
    <t>08.09.2016</t>
  </si>
  <si>
    <t>01.09.2016</t>
  </si>
  <si>
    <t>BANDING LABEL DCN FW 100ML+100ML</t>
  </si>
  <si>
    <t>28.09.2016</t>
  </si>
  <si>
    <t>SHRINK SLEEVE BACTER SHIELD HS 50ML</t>
  </si>
  <si>
    <t>24.09.2016</t>
  </si>
  <si>
    <t>29.09.2016</t>
  </si>
  <si>
    <t>SHRINK SLEEVE GALDERMA COM SOAP 75G</t>
  </si>
  <si>
    <t>SHRINK SLEEVE DOY COM SOAP 75G 25MIC</t>
  </si>
  <si>
    <t>SHRINK SLEEVE DOY COM SOAP 125G 30MIC</t>
  </si>
  <si>
    <t>26.09.2016</t>
  </si>
  <si>
    <t>Tubes purchased at Bhandora</t>
  </si>
  <si>
    <t>Tubes 50ml</t>
  </si>
  <si>
    <t>Bhandora</t>
  </si>
  <si>
    <t>Revised price</t>
  </si>
  <si>
    <t>B9</t>
  </si>
  <si>
    <t>XXX</t>
  </si>
  <si>
    <t>CARTON ORIFLAME M&amp;H-DOM SOAP 100G NEW</t>
  </si>
  <si>
    <t>201563     PARKSONS PACKAGING LIMITED</t>
  </si>
  <si>
    <t>11.08.2016</t>
  </si>
  <si>
    <t>BX</t>
  </si>
  <si>
    <t>650M</t>
  </si>
  <si>
    <t xml:space="preserve">FEB2016-Jan2017           </t>
  </si>
  <si>
    <t>AUG2016-JUL2017</t>
  </si>
  <si>
    <t>Banding Tape 650M Roll</t>
  </si>
  <si>
    <t>3, 3.8 INR/Roll</t>
  </si>
  <si>
    <t>APR-2016-MAR2016</t>
  </si>
  <si>
    <r>
      <t>Shrink Sleeve DOYCARE, Candid 25</t>
    </r>
    <r>
      <rPr>
        <sz val="11"/>
        <color rgb="FF000000"/>
        <rFont val="Calibri"/>
        <family val="2"/>
      </rPr>
      <t>µ</t>
    </r>
    <r>
      <rPr>
        <sz val="9.4499999999999993"/>
        <color rgb="FF000000"/>
        <rFont val="Calibri"/>
        <family val="2"/>
      </rPr>
      <t xml:space="preserve"> &amp; 30µ</t>
    </r>
  </si>
  <si>
    <t xml:space="preserve">0.04,0.09 </t>
  </si>
  <si>
    <t>Aug2016- Jul2016</t>
  </si>
  <si>
    <t>Sep2016-Aug20916</t>
  </si>
  <si>
    <t>DCFW Tube, DOY Care at Bhandora</t>
  </si>
  <si>
    <t>485/1000</t>
  </si>
  <si>
    <t>M/s. Essel Ajanta Label</t>
  </si>
  <si>
    <t xml:space="preserve">AuG2016-JUL2017  </t>
  </si>
  <si>
    <t>Banding Tape 650M</t>
  </si>
  <si>
    <t>3.8, 3.0 /Roll</t>
  </si>
  <si>
    <t>Savings Q2 2016</t>
  </si>
  <si>
    <t>Savings SEP 2016</t>
  </si>
  <si>
    <t>04.10.2016</t>
  </si>
  <si>
    <t>12.10.2016</t>
  </si>
  <si>
    <t>10.10.2016</t>
  </si>
  <si>
    <t>08.10.2016</t>
  </si>
  <si>
    <t>BANDING TAPE JO COMMON 100GX4 MRP 68</t>
  </si>
  <si>
    <t>06.10.2016</t>
  </si>
  <si>
    <t>27.10.2016</t>
  </si>
  <si>
    <t>GRN number</t>
  </si>
  <si>
    <t>date of receipt</t>
  </si>
  <si>
    <t>date</t>
  </si>
  <si>
    <t>26.10.2016</t>
  </si>
  <si>
    <t>BANDING LABEL DCN FW 50ML+50ML</t>
  </si>
  <si>
    <t>21.10.2016</t>
  </si>
  <si>
    <t>14.10.2016</t>
  </si>
  <si>
    <t>18.10.2016</t>
  </si>
  <si>
    <t>15.10.2016</t>
  </si>
  <si>
    <t>revise rate</t>
  </si>
  <si>
    <t>diff</t>
  </si>
  <si>
    <t>Due to cost sheet revision</t>
  </si>
  <si>
    <t>Due to GSM reduction</t>
  </si>
  <si>
    <t>13.10.2016</t>
  </si>
  <si>
    <t>Codw</t>
  </si>
  <si>
    <t>Revise price</t>
  </si>
  <si>
    <t>19.10.2016</t>
  </si>
  <si>
    <t>CARTON DC HONEY SOAP 75GX4 NEW</t>
  </si>
  <si>
    <t>CARTON DOY PURE&amp;MILD FR SOAP 125G MP</t>
  </si>
  <si>
    <t>CARTON DOY ALOE VERA 125GX4 FW OFFER</t>
  </si>
  <si>
    <t>CARTON DOY HONEY 125GX4 FW OFFER</t>
  </si>
  <si>
    <t>CARTON DOY JUNGLE PACK 75GX4 MP</t>
  </si>
  <si>
    <t>BOOKLET DOY JUNGLE PACK</t>
  </si>
  <si>
    <t>LABEL BSHW 215ML OFF PCK (F/B) VER1</t>
  </si>
  <si>
    <t>SET</t>
  </si>
  <si>
    <t>Label purchase from Ajanta instead of Laxmi Pharma pack</t>
  </si>
  <si>
    <t>GRN</t>
  </si>
  <si>
    <t>Revise rate</t>
  </si>
  <si>
    <t>PAPERBOARD TRAY BACTERSHIELDHS15ML12PK</t>
  </si>
  <si>
    <t>13.08.2016</t>
  </si>
  <si>
    <t>NEWDOY KIDS ASSORTED PACK CTN 75G x 3</t>
  </si>
  <si>
    <t xml:space="preserve">Due to </t>
  </si>
  <si>
    <t>WRAPPER JO LIME 100G NEWNAG GSM 1.7</t>
  </si>
  <si>
    <t>21.09.2016</t>
  </si>
  <si>
    <t>CARTON NEKO BOUQUET 75 GM PEL</t>
  </si>
  <si>
    <t>Neko carton Automation</t>
  </si>
  <si>
    <t>Savings OCT 2016</t>
  </si>
  <si>
    <t xml:space="preserve">DCFW Tube, DOY Care </t>
  </si>
  <si>
    <t>OCT2016-SEP2017</t>
  </si>
  <si>
    <t>Special 1%  Discunt on Margin for Carton of Volume 2.5Lac from NPP</t>
  </si>
  <si>
    <t>DOY Assorted Carton 75gX3</t>
  </si>
  <si>
    <t>NPP</t>
  </si>
  <si>
    <t>8.62, 17.5, 12 INR/1000</t>
  </si>
  <si>
    <t>0.98 INR/Carton</t>
  </si>
  <si>
    <t>16, 0.8 INR</t>
  </si>
  <si>
    <t>NPP from Special Colours</t>
  </si>
  <si>
    <t>DOY Jungle pack Carton/BOOK</t>
  </si>
  <si>
    <t>BSHW Label 215ml</t>
  </si>
  <si>
    <t>Wrapper GLS 1.7ink &amp; Yash Paper</t>
  </si>
  <si>
    <t>Paper Tray Bacter Shield</t>
  </si>
  <si>
    <t>2.67/Carton</t>
  </si>
  <si>
    <t>0.25 INR/Label</t>
  </si>
  <si>
    <t>Ajanta Packaging</t>
  </si>
  <si>
    <t>NOV2015-OCT2016 OCT2016-SEP2017</t>
  </si>
  <si>
    <t>NEKO Online Packing</t>
  </si>
  <si>
    <t xml:space="preserve">GLS </t>
  </si>
  <si>
    <t>B.PLepids</t>
  </si>
  <si>
    <t>Oriflame</t>
  </si>
  <si>
    <t>Volume Discount 99%</t>
  </si>
  <si>
    <t>D.K</t>
  </si>
  <si>
    <t>Riya</t>
  </si>
  <si>
    <t>Shree Bhagvati</t>
  </si>
  <si>
    <t>Keefe</t>
  </si>
  <si>
    <t>Containeristion</t>
  </si>
  <si>
    <t>Price reduction on account of sourcing Satguru in place of D K and on account of sourcing 625 M roll in place of 325 M roll</t>
  </si>
  <si>
    <t>28.11.2016</t>
  </si>
  <si>
    <t>26.11.2016</t>
  </si>
  <si>
    <t>21.11.2016</t>
  </si>
  <si>
    <t>12.11.2016</t>
  </si>
  <si>
    <t>08.11.2016</t>
  </si>
  <si>
    <t>24.11.2016</t>
  </si>
  <si>
    <t>Price reduction on account of sourcing from Satguru in place of Adhunik</t>
  </si>
  <si>
    <t>16.11.2016</t>
  </si>
  <si>
    <t>STIFFNER 78MM 175 BOARD + 10 Μ POLY</t>
  </si>
  <si>
    <t>Price reduction on account of purchasing from Laxmi in place of Lords sticker</t>
  </si>
  <si>
    <t>29.11.2016</t>
  </si>
  <si>
    <t>17.11.2016</t>
  </si>
  <si>
    <t>Price reduction on account of cost sheet reduction and GSM reduction</t>
  </si>
  <si>
    <t>09.11.2016</t>
  </si>
  <si>
    <t>19.11.2016</t>
  </si>
  <si>
    <t>SHRINK SLEEVE DC COM SOAP 50GX12 25M</t>
  </si>
  <si>
    <t>Price reduction on account of purchasing labels from Ajanta in place of Laxmi and Skanem</t>
  </si>
  <si>
    <t>CO-EX TUBE DOY CARE NEEM FW 50ML</t>
  </si>
  <si>
    <t>04.11.2016</t>
  </si>
  <si>
    <t>03.11.2016</t>
  </si>
  <si>
    <t>CO-EX TUBE DOY CARE NEEM FW 100ML</t>
  </si>
  <si>
    <t>Price reduction on account of 1% discount</t>
  </si>
  <si>
    <t>MRN no</t>
  </si>
  <si>
    <t>CARTON DC ALOE VERA SOAP 50G SINGLE NEW</t>
  </si>
  <si>
    <t>CARTON DC HONEY SOAP 50G SINGLE NEW</t>
  </si>
  <si>
    <t>CARTON DC ALOE VERA SOAP 75GX4 NEW</t>
  </si>
  <si>
    <t>15.11.2016</t>
  </si>
  <si>
    <t>10.11.2016</t>
  </si>
  <si>
    <t>WRAPPER JO LIME 50G NEWNAG GSM 1.7</t>
  </si>
  <si>
    <t>11.11.2016</t>
  </si>
  <si>
    <t>1003086            CARTON NEKO BOUQUET 75 GM PEL            114  VVF INDIA LIMITED-BADDI</t>
  </si>
  <si>
    <t>PM01 105   5000260522    1 23.11.2016          183,600  NOS</t>
  </si>
  <si>
    <t>PM01 105   5000260523    2 23.11.2016              400  NOS</t>
  </si>
  <si>
    <t>PM01 105   5000260523    1 23.11.2016            8,600  NOS</t>
  </si>
  <si>
    <t>PM01 105   5000257155    2 07.11.2016        1,015,500  NOS</t>
  </si>
  <si>
    <t>PM01 105   5000257155    1 07.11.2016           13,700  NOS</t>
  </si>
  <si>
    <t>Material           Material Description                     Plnt Name 1</t>
  </si>
  <si>
    <t>SLoc MvT S Mat. Doc.  Item Pstng Date   Quantity in UnE EUn</t>
  </si>
  <si>
    <t>1002760            CARTON ORIFLAME M&amp;H-DOM SOAP 100G NEW    114  VVF INDIA LIMITED-BADDI</t>
  </si>
  <si>
    <t>PM01 105   5000256428    1 03.11.2016          313,100  NOS</t>
  </si>
  <si>
    <t>PM01 105   5000256428    2 03.11.2016            8,650  NOS</t>
  </si>
  <si>
    <t>Fr</t>
  </si>
  <si>
    <t>Fright</t>
  </si>
  <si>
    <t>CO-EX TUBE DOY CARE ALOE VERA 50ml</t>
  </si>
  <si>
    <t>M/s. Creative Compare to M/s. Essel</t>
  </si>
  <si>
    <t>14.12.2016</t>
  </si>
  <si>
    <t>15.12.2016</t>
  </si>
  <si>
    <t>17.12.2016</t>
  </si>
  <si>
    <t>26.12.2016</t>
  </si>
  <si>
    <t>BANDING TAPE JO COMMON SOAP 60G X4</t>
  </si>
  <si>
    <t>05.12.2016</t>
  </si>
  <si>
    <t>06.12.2016</t>
  </si>
  <si>
    <t>07.12.2016</t>
  </si>
  <si>
    <t>BANDING TAPE BS COM SOAP 60GX4 MRP30</t>
  </si>
  <si>
    <t>10.12.2016</t>
  </si>
  <si>
    <t>01.12.2016</t>
  </si>
  <si>
    <t>19.12.2016</t>
  </si>
  <si>
    <t>24.12.2016</t>
  </si>
  <si>
    <t>31.12.2016</t>
  </si>
  <si>
    <t>27.12.2016</t>
  </si>
  <si>
    <t>21.12.2016</t>
  </si>
  <si>
    <t>BANDING LABEL DCH FW 100ML+100ML</t>
  </si>
  <si>
    <t>09.12.2016</t>
  </si>
  <si>
    <t>BANDING LABEL DCH FW 50ML+50ML</t>
  </si>
  <si>
    <t>20.12.2016</t>
  </si>
  <si>
    <t>03.12.2016</t>
  </si>
  <si>
    <t>08.12.2016</t>
  </si>
  <si>
    <t>02.12.2016</t>
  </si>
  <si>
    <t>WRAPPER JO A&amp;C 100G NEWNAG GSM 1.7</t>
  </si>
  <si>
    <t>WRAPPER JO A&amp;C 50G NEWNAG GSM 1.7</t>
  </si>
  <si>
    <t>29.12.2016</t>
  </si>
  <si>
    <t>NOV2016-OCT2017</t>
  </si>
  <si>
    <t>Savings DEC 2016</t>
  </si>
  <si>
    <t>Savings NOV 2016</t>
  </si>
  <si>
    <t>Savings Q3 2016</t>
  </si>
  <si>
    <t>12.01.2017</t>
  </si>
  <si>
    <t>04.01.2017</t>
  </si>
  <si>
    <t>30.01.2017</t>
  </si>
  <si>
    <t>07.01.2017</t>
  </si>
  <si>
    <t>17.01.2017</t>
  </si>
  <si>
    <t>16.01.2017</t>
  </si>
  <si>
    <t>21.01.2017</t>
  </si>
  <si>
    <t>10.01.2017</t>
  </si>
  <si>
    <t>09.01.2017</t>
  </si>
  <si>
    <t>05.01.2017</t>
  </si>
  <si>
    <t>14.01.2017</t>
  </si>
  <si>
    <t>STIFFNER 77MM 130 BOARD + 10 Μ POLY</t>
  </si>
  <si>
    <t>PVC SLEEVE  DC COMMON SOAP 125G X6</t>
  </si>
  <si>
    <t>11.01.2017</t>
  </si>
  <si>
    <t>SHRINK SLEEVE BS HAND WASH 215ML 25MIC</t>
  </si>
  <si>
    <t>28.01.2017</t>
  </si>
  <si>
    <t>SHRINK SLEEVE DOY TRANP SOAP 50GX12 25MI</t>
  </si>
  <si>
    <t>CARTON DC M&amp;C SOAP125GX4(300G CARTE LUM)</t>
  </si>
  <si>
    <t>CARTON DC M&amp;C SOAP 125G SIN NEW</t>
  </si>
  <si>
    <t>CARTON DOY PURE&amp;MILD FR SOAP 50G SP</t>
  </si>
  <si>
    <t>31.1.2017</t>
  </si>
  <si>
    <t>Forward cover for wrapper buying</t>
  </si>
  <si>
    <t>27.01.2017</t>
  </si>
  <si>
    <t>WRAPPER JO A&amp;C SOAP 50G MP NEWNAG</t>
  </si>
  <si>
    <t>WRAPPER JO N/T/A SOAP 50G MP NEWNAG</t>
  </si>
  <si>
    <t>WRAPPER JO LIME SOAP 50G MP NEWNAG</t>
  </si>
  <si>
    <t>18.01.2017</t>
  </si>
  <si>
    <t>WRAPPER JO LIME SOAP 150G MP NEWNAG</t>
  </si>
  <si>
    <t>WRAPPER JO A&amp;C SOAP 150G MP NEWNAG</t>
  </si>
  <si>
    <t>WRAPPER JO P&amp;C SOAP 150G MP NEWNAG</t>
  </si>
  <si>
    <t>WRAPPER JO C&amp;O SOAP 125G MP NEWNAG</t>
  </si>
  <si>
    <t>PO rate</t>
  </si>
  <si>
    <t>Increased rate</t>
  </si>
  <si>
    <t>MPC</t>
  </si>
  <si>
    <t>20.01.2017</t>
  </si>
  <si>
    <t>WRAPPER JO LIME SOAP 125G MP NEWNAG</t>
  </si>
  <si>
    <t>WRAPPER JO A&amp;C SOAP 125G MP NEWNAG</t>
  </si>
  <si>
    <t>4.1.2017</t>
  </si>
  <si>
    <t xml:space="preserve">PO NO </t>
  </si>
  <si>
    <t>PO date</t>
  </si>
  <si>
    <t>3.1.2017</t>
  </si>
  <si>
    <t>24.1.2017</t>
  </si>
  <si>
    <t>13.12.2016</t>
  </si>
  <si>
    <t>Essel</t>
  </si>
  <si>
    <t>Creative</t>
  </si>
  <si>
    <t>APR-2016-MAR2017</t>
  </si>
  <si>
    <t>Aug2016- Jul2017</t>
  </si>
  <si>
    <t>1341/1000</t>
  </si>
  <si>
    <t>Wrapper Forward Cover</t>
  </si>
  <si>
    <t>Savings Jan 2017</t>
  </si>
  <si>
    <t>Forward cover for stiffner buying</t>
  </si>
  <si>
    <t>STIFFNER 88MM 130 BOARD + 14Μ</t>
  </si>
  <si>
    <t>Satguru</t>
  </si>
  <si>
    <t>M/s. Modern</t>
  </si>
  <si>
    <t>Stiffener Forward Cover</t>
  </si>
  <si>
    <t>07.02.2017</t>
  </si>
  <si>
    <t>05.02.2017</t>
  </si>
  <si>
    <t>03.02.2017</t>
  </si>
  <si>
    <t>18.02.2017</t>
  </si>
  <si>
    <t>16.02.2017</t>
  </si>
  <si>
    <t>10.02.2017</t>
  </si>
  <si>
    <t>BANDING TAPE JO COMMON 65GX4 MRP 40</t>
  </si>
  <si>
    <t>15.02.2017</t>
  </si>
  <si>
    <t>BANDING TAPE JO COM SOAP 55G+10GX4 MRP40</t>
  </si>
  <si>
    <t>26.02.2017</t>
  </si>
  <si>
    <t>BANDING TAPE JO COMMON SOAP 55GX4 MRP30</t>
  </si>
  <si>
    <t>BANDING TAPE JO COMMON SOAP150GX4 MRP100</t>
  </si>
  <si>
    <t>SHRINK SLEEVE  DC COMMON SOAP 100G</t>
  </si>
  <si>
    <t>14.2.2017</t>
  </si>
  <si>
    <t>SHRINK SLEEVE SURGI AID HR 500ML</t>
  </si>
  <si>
    <t>2.2.2017</t>
  </si>
  <si>
    <t xml:space="preserve">Due to forward cover </t>
  </si>
  <si>
    <t>actual rate</t>
  </si>
  <si>
    <t>market rate</t>
  </si>
  <si>
    <t>09.02.2017</t>
  </si>
  <si>
    <t>CARTON DC M&amp;C SOAP50G SINGLES(285GSM CL)</t>
  </si>
  <si>
    <t>06.02.2017</t>
  </si>
  <si>
    <t>11.02.2017</t>
  </si>
  <si>
    <t>WRAPPER JO R&amp;C SOAP 50G MP NEWNAG</t>
  </si>
  <si>
    <t>WRAPPER JO S&amp;T SOAP 50G MP NEWNAG</t>
  </si>
  <si>
    <t>WRAPPER JO C&amp;O SOAP 50G MP NEWNAG</t>
  </si>
  <si>
    <t>WRAPPER JO P&amp;C SOAP 50G MP NEWNAG</t>
  </si>
  <si>
    <t>WRAPPER JO A&amp;C SOAP 65G MP NEWNAG</t>
  </si>
  <si>
    <t>WRAPPER JO LIME SOAP 65G MP NEWNAG</t>
  </si>
  <si>
    <t>WRAPPER DOY PC SILK SOFT SOAP 65G SP</t>
  </si>
  <si>
    <t>WRAPPER DOY PC SATIN TOUCH SOAP 65G SP</t>
  </si>
  <si>
    <t>WRAPPER DOY PC ALOE FRESH SOAP 65G SP</t>
  </si>
  <si>
    <t>04.02.2017</t>
  </si>
  <si>
    <t>01.02.2017</t>
  </si>
  <si>
    <t>WRAPPER JO LIME SOAP 55G MP NEWNAG</t>
  </si>
  <si>
    <t>27.02.2017</t>
  </si>
  <si>
    <t>20.02.2017</t>
  </si>
  <si>
    <t>WRAPPER JO A&amp;C SOAP 55G MP NEWNAG</t>
  </si>
  <si>
    <t>rate difference on account of 1.7 GSM ink</t>
  </si>
  <si>
    <t>6.12.2016</t>
  </si>
  <si>
    <t>2.9.2016</t>
  </si>
  <si>
    <t>1.2.2017</t>
  </si>
  <si>
    <t>17.02.2017</t>
  </si>
  <si>
    <t>08.02.2017</t>
  </si>
  <si>
    <t>23.02.2017</t>
  </si>
  <si>
    <t>11.2.2017</t>
  </si>
  <si>
    <t>8.2.2017</t>
  </si>
  <si>
    <t>Neko cartons purchased</t>
  </si>
  <si>
    <t>FEB2017-JAN2018</t>
  </si>
  <si>
    <t>Wrapper 1.7ink &amp; Yash Paper</t>
  </si>
  <si>
    <t>485/1000, 1191/1000</t>
  </si>
  <si>
    <t>Savings Feb 2017</t>
  </si>
  <si>
    <t>Savings Q4-2017</t>
  </si>
  <si>
    <t>BANDING TAPE BACTER SHIELD 125GX5</t>
  </si>
  <si>
    <t>23.03.2017</t>
  </si>
  <si>
    <t>01.03.2017</t>
  </si>
  <si>
    <t>19.03.2017</t>
  </si>
  <si>
    <t>09.03.2017</t>
  </si>
  <si>
    <t>02.03.2017</t>
  </si>
  <si>
    <t>BANDING TAPE JO COM SOAP 125GX4 MRP85</t>
  </si>
  <si>
    <t>28.03.2017</t>
  </si>
  <si>
    <t>05.03.2017</t>
  </si>
  <si>
    <t>04.03.2017</t>
  </si>
  <si>
    <t>BANDING TAPE JO100gX4+JO50gFREE MRP Rs70</t>
  </si>
  <si>
    <t>20.03.2017</t>
  </si>
  <si>
    <t>07.03.2017</t>
  </si>
  <si>
    <t>29.03.2017</t>
  </si>
  <si>
    <t>17.03.2017</t>
  </si>
  <si>
    <t>11.03.2017</t>
  </si>
  <si>
    <t>WRAPPER JO A&amp;C SOAP 60G MP NEWNAG</t>
  </si>
  <si>
    <t>03.03.2017</t>
  </si>
  <si>
    <t>WRAPPER JO A&amp;C SOAP 60G SP NEWNAG</t>
  </si>
  <si>
    <t>WRAPPER JO C&amp;O SOAP 150G MP NEWNAG</t>
  </si>
  <si>
    <t>WRAPPER JO N/T/A SOAP 55G MP NEWNAG</t>
  </si>
  <si>
    <t>WRAPPER JO R&amp;C SOAP 150G MP NEWNAG</t>
  </si>
  <si>
    <t>WRAPPER JO S&amp;T SOAP 100G MP NEWNAG</t>
  </si>
  <si>
    <t>WRAPPER JO S&amp;T SOAP 125G MP NEWNAG</t>
  </si>
  <si>
    <t>WRAPPER JO S&amp;T SOAP 55G MP NEWNAG</t>
  </si>
  <si>
    <t>Grn Date</t>
  </si>
  <si>
    <t>PO price</t>
  </si>
  <si>
    <t>Market price</t>
  </si>
  <si>
    <t>24.03.2017</t>
  </si>
  <si>
    <t>22.03.2017</t>
  </si>
  <si>
    <t>Rate</t>
  </si>
  <si>
    <t>2 GSM ink</t>
  </si>
  <si>
    <t>1.7 GSM Ink</t>
  </si>
  <si>
    <t>21.03.2017</t>
  </si>
  <si>
    <t>25.03.2017</t>
  </si>
  <si>
    <t>08.03.2017</t>
  </si>
  <si>
    <t>30.03.2017</t>
  </si>
  <si>
    <t>18.03.2017</t>
  </si>
  <si>
    <t>GRN Date</t>
  </si>
  <si>
    <t>LABEL BS HAND WASH 215ML PK (F/B) 09/16</t>
  </si>
  <si>
    <t>POUCH  BS HAND WASH  185ML RP 09/16</t>
  </si>
  <si>
    <t>10.03.2017</t>
  </si>
  <si>
    <t>M/s. Satguru</t>
  </si>
  <si>
    <t>Sep2016-Aug2017</t>
  </si>
  <si>
    <t>March2016-FEB2017</t>
  </si>
  <si>
    <t>BSHW 185 ml Pouch</t>
  </si>
  <si>
    <t>March2016 One Time</t>
  </si>
  <si>
    <t>Cylinder Cost</t>
  </si>
  <si>
    <t>02.02.2017</t>
  </si>
  <si>
    <t>9MM MARINE PLY FOR CP3 PALLET</t>
  </si>
  <si>
    <t>PALLET  1140 X 1080 X 130 MM (PINE WOOD)</t>
  </si>
  <si>
    <t>PALLATISATION OF KEEFE MOIST SOAP</t>
  </si>
  <si>
    <t>Old Rate</t>
  </si>
  <si>
    <t>New Rate</t>
  </si>
  <si>
    <t>Net Saving</t>
  </si>
  <si>
    <t>EX</t>
  </si>
  <si>
    <t>CST</t>
  </si>
  <si>
    <t>Net off  Modvat</t>
  </si>
  <si>
    <t>Saving</t>
  </si>
  <si>
    <t>Sharma</t>
  </si>
  <si>
    <t>Jay</t>
  </si>
  <si>
    <t>Net Savings on Pallet &amp; Palletisation</t>
  </si>
  <si>
    <t>Savings on Pallet &amp; Palletisation with increased Load</t>
  </si>
  <si>
    <t>No. of Pallet/Container</t>
  </si>
  <si>
    <t>Total No. of Pallet</t>
  </si>
  <si>
    <t>Total Reduction in Pallet</t>
  </si>
  <si>
    <t>Cost/Pallet</t>
  </si>
  <si>
    <t>Palletisation Material</t>
  </si>
  <si>
    <t xml:space="preserve">Marine Ply </t>
  </si>
  <si>
    <t>12 Pallets/Container</t>
  </si>
  <si>
    <t>Pallet &amp; Palletisation Material</t>
  </si>
  <si>
    <t>Mar2017-FEB2017</t>
  </si>
  <si>
    <t>Savings March 2017</t>
  </si>
  <si>
    <t>Satgurur</t>
  </si>
  <si>
    <t>Saving details for FY-2016-17</t>
  </si>
  <si>
    <t>Ranajeet</t>
  </si>
  <si>
    <t>Viraf</t>
  </si>
  <si>
    <t>Vikas</t>
  </si>
  <si>
    <t>Savings Current yr</t>
  </si>
  <si>
    <t>Savings Last year</t>
  </si>
  <si>
    <t>DCFW Tube, Neem M&amp;C,DOYCARE</t>
  </si>
  <si>
    <t>NEKO Online Packing &amp; Printing</t>
  </si>
  <si>
    <t>Shrink Sleeve DOYCARE, Candid 25µ &amp; 30µ</t>
  </si>
  <si>
    <t>Special 1%  Discount on Margin</t>
  </si>
  <si>
    <t>Grand Total</t>
  </si>
  <si>
    <t>BSHW Label 215ml 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</si>
</sst>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000000"/>
    <numFmt numFmtId="167" formatCode="#,##0.0"/>
    <numFmt numFmtId="168" formatCode="#,##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Franklin Gothic Book"/>
      <family val="2"/>
    </font>
    <font>
      <b/>
      <sz val="10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14"/>
      <color rgb="FF000000"/>
      <name val="Franklin Gothic Book"/>
      <family val="2"/>
    </font>
    <font>
      <b/>
      <sz val="10"/>
      <color rgb="FF000000"/>
      <name val="Franklin Gothic Book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1"/>
      <color theme="1"/>
      <name val="Tahoma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.4499999999999993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222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0" fontId="1" fillId="0" borderId="0" xfId="0" applyFont="1"/>
    <xf numFmtId="164" fontId="0" fillId="0" borderId="1" xfId="0" applyNumberFormat="1" applyBorder="1"/>
    <xf numFmtId="0" fontId="0" fillId="0" borderId="0" xfId="0" applyBorder="1"/>
    <xf numFmtId="0" fontId="0" fillId="3" borderId="1" xfId="0" applyFill="1" applyBorder="1"/>
    <xf numFmtId="2" fontId="0" fillId="0" borderId="1" xfId="0" applyNumberFormat="1" applyBorder="1"/>
    <xf numFmtId="2" fontId="1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0" fontId="2" fillId="0" borderId="1" xfId="0" applyFont="1" applyBorder="1" applyAlignment="1">
      <alignment horizontal="center" vertical="center" wrapText="1" readingOrder="1"/>
    </xf>
    <xf numFmtId="3" fontId="2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wrapText="1"/>
    </xf>
    <xf numFmtId="2" fontId="0" fillId="0" borderId="0" xfId="0" applyNumberFormat="1"/>
    <xf numFmtId="0" fontId="0" fillId="0" borderId="1" xfId="0" applyBorder="1" applyAlignment="1">
      <alignment vertical="center"/>
    </xf>
    <xf numFmtId="4" fontId="0" fillId="0" borderId="0" xfId="0" applyNumberFormat="1"/>
    <xf numFmtId="0" fontId="6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1" fillId="0" borderId="0" xfId="0" applyFont="1" applyBorder="1"/>
    <xf numFmtId="0" fontId="3" fillId="0" borderId="1" xfId="0" applyFont="1" applyBorder="1" applyAlignment="1">
      <alignment horizontal="left" vertical="center" wrapText="1" readingOrder="1"/>
    </xf>
    <xf numFmtId="0" fontId="0" fillId="0" borderId="2" xfId="0" applyFill="1" applyBorder="1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/>
    </xf>
    <xf numFmtId="3" fontId="1" fillId="0" borderId="1" xfId="0" applyNumberFormat="1" applyFont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5" xfId="0" applyBorder="1"/>
    <xf numFmtId="0" fontId="1" fillId="0" borderId="1" xfId="0" applyFont="1" applyFill="1" applyBorder="1" applyAlignment="1">
      <alignment horizontal="center"/>
    </xf>
    <xf numFmtId="17" fontId="1" fillId="0" borderId="0" xfId="0" applyNumberFormat="1" applyFont="1"/>
    <xf numFmtId="2" fontId="1" fillId="0" borderId="1" xfId="0" applyNumberFormat="1" applyFont="1" applyBorder="1"/>
    <xf numFmtId="0" fontId="0" fillId="0" borderId="1" xfId="0" applyFont="1" applyBorder="1"/>
    <xf numFmtId="3" fontId="0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Fill="1" applyBorder="1"/>
    <xf numFmtId="0" fontId="0" fillId="0" borderId="2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readingOrder="1"/>
    </xf>
    <xf numFmtId="3" fontId="8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1" fontId="8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wrapText="1" readingOrder="1"/>
    </xf>
    <xf numFmtId="2" fontId="8" fillId="0" borderId="1" xfId="0" applyNumberFormat="1" applyFont="1" applyBorder="1" applyAlignment="1">
      <alignment horizontal="center" vertical="center" wrapText="1" readingOrder="1"/>
    </xf>
    <xf numFmtId="3" fontId="8" fillId="4" borderId="1" xfId="0" applyNumberFormat="1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vertical="center" wrapText="1" readingOrder="1"/>
    </xf>
    <xf numFmtId="0" fontId="8" fillId="4" borderId="1" xfId="0" applyFont="1" applyFill="1" applyBorder="1" applyAlignment="1">
      <alignment vertical="center" wrapText="1" readingOrder="1"/>
    </xf>
    <xf numFmtId="1" fontId="0" fillId="0" borderId="0" xfId="0" applyNumberFormat="1"/>
    <xf numFmtId="0" fontId="2" fillId="0" borderId="1" xfId="0" applyFont="1" applyBorder="1" applyAlignment="1">
      <alignment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1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/>
    <xf numFmtId="0" fontId="14" fillId="0" borderId="0" xfId="0" applyFont="1"/>
    <xf numFmtId="0" fontId="4" fillId="0" borderId="1" xfId="0" applyFont="1" applyBorder="1" applyAlignment="1">
      <alignment vertical="center" wrapText="1" readingOrder="1"/>
    </xf>
    <xf numFmtId="0" fontId="0" fillId="0" borderId="1" xfId="0" applyFill="1" applyBorder="1" applyAlignment="1">
      <alignment wrapText="1"/>
    </xf>
    <xf numFmtId="0" fontId="0" fillId="0" borderId="9" xfId="0" applyBorder="1"/>
    <xf numFmtId="2" fontId="0" fillId="0" borderId="0" xfId="0" applyNumberFormat="1" applyBorder="1"/>
    <xf numFmtId="4" fontId="1" fillId="0" borderId="0" xfId="0" applyNumberFormat="1" applyFont="1"/>
    <xf numFmtId="0" fontId="8" fillId="0" borderId="1" xfId="0" applyFont="1" applyBorder="1" applyAlignment="1">
      <alignment horizontal="center" wrapText="1" readingOrder="1"/>
    </xf>
    <xf numFmtId="1" fontId="0" fillId="0" borderId="0" xfId="0" applyNumberFormat="1" applyAlignment="1">
      <alignment horizontal="center" vertical="center"/>
    </xf>
    <xf numFmtId="43" fontId="8" fillId="0" borderId="1" xfId="1" applyFont="1" applyBorder="1" applyAlignment="1">
      <alignment vertical="center" wrapText="1" readingOrder="1"/>
    </xf>
    <xf numFmtId="43" fontId="8" fillId="4" borderId="1" xfId="1" applyFont="1" applyFill="1" applyBorder="1" applyAlignment="1">
      <alignment vertical="center" wrapText="1" readingOrder="1"/>
    </xf>
    <xf numFmtId="43" fontId="8" fillId="0" borderId="1" xfId="1" applyFont="1" applyBorder="1" applyAlignment="1">
      <alignment horizontal="left" vertical="center" wrapText="1" readingOrder="1"/>
    </xf>
    <xf numFmtId="43" fontId="9" fillId="2" borderId="1" xfId="1" applyFont="1" applyFill="1" applyBorder="1" applyAlignment="1">
      <alignment horizontal="left" vertical="center" wrapText="1" readingOrder="1"/>
    </xf>
    <xf numFmtId="43" fontId="2" fillId="0" borderId="1" xfId="1" applyFont="1" applyBorder="1" applyAlignment="1">
      <alignment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165" fontId="8" fillId="4" borderId="1" xfId="1" applyNumberFormat="1" applyFont="1" applyFill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165" fontId="9" fillId="2" borderId="1" xfId="1" applyNumberFormat="1" applyFont="1" applyFill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wrapText="1" readingOrder="1"/>
    </xf>
    <xf numFmtId="165" fontId="8" fillId="4" borderId="1" xfId="1" applyNumberFormat="1" applyFont="1" applyFill="1" applyBorder="1" applyAlignment="1">
      <alignment horizontal="center" wrapText="1" readingOrder="1"/>
    </xf>
    <xf numFmtId="165" fontId="2" fillId="0" borderId="1" xfId="1" applyNumberFormat="1" applyFont="1" applyBorder="1" applyAlignment="1">
      <alignment horizontal="center" wrapText="1" readingOrder="1"/>
    </xf>
    <xf numFmtId="165" fontId="9" fillId="2" borderId="1" xfId="1" applyNumberFormat="1" applyFont="1" applyFill="1" applyBorder="1" applyAlignment="1">
      <alignment horizontal="center" wrapText="1" readingOrder="1"/>
    </xf>
    <xf numFmtId="165" fontId="2" fillId="0" borderId="1" xfId="0" applyNumberFormat="1" applyFont="1" applyBorder="1" applyAlignment="1">
      <alignment vertical="center" wrapText="1" readingOrder="1"/>
    </xf>
    <xf numFmtId="165" fontId="5" fillId="2" borderId="1" xfId="1" applyNumberFormat="1" applyFont="1" applyFill="1" applyBorder="1" applyAlignment="1">
      <alignment horizontal="center" vertical="center" wrapText="1" readingOrder="1"/>
    </xf>
    <xf numFmtId="165" fontId="5" fillId="2" borderId="1" xfId="1" applyNumberFormat="1" applyFont="1" applyFill="1" applyBorder="1" applyAlignment="1">
      <alignment horizontal="left" vertical="center" wrapText="1" readingOrder="1"/>
    </xf>
    <xf numFmtId="165" fontId="2" fillId="0" borderId="1" xfId="0" applyNumberFormat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vertical="center" wrapText="1" readingOrder="1"/>
    </xf>
    <xf numFmtId="165" fontId="8" fillId="4" borderId="1" xfId="1" applyNumberFormat="1" applyFont="1" applyFill="1" applyBorder="1" applyAlignment="1">
      <alignment vertical="center" wrapText="1" readingOrder="1"/>
    </xf>
    <xf numFmtId="165" fontId="8" fillId="0" borderId="1" xfId="1" applyNumberFormat="1" applyFont="1" applyBorder="1" applyAlignment="1">
      <alignment horizontal="left" vertical="center" wrapText="1" readingOrder="1"/>
    </xf>
    <xf numFmtId="165" fontId="9" fillId="2" borderId="1" xfId="1" applyNumberFormat="1" applyFont="1" applyFill="1" applyBorder="1" applyAlignment="1">
      <alignment horizontal="left" vertical="center" wrapText="1" readingOrder="1"/>
    </xf>
    <xf numFmtId="165" fontId="2" fillId="0" borderId="1" xfId="1" applyNumberFormat="1" applyFont="1" applyBorder="1" applyAlignment="1">
      <alignment vertical="center" wrapText="1" readingOrder="1"/>
    </xf>
    <xf numFmtId="9" fontId="2" fillId="0" borderId="1" xfId="0" applyNumberFormat="1" applyFont="1" applyBorder="1" applyAlignment="1">
      <alignment horizontal="center" vertical="center" wrapText="1" readingOrder="1"/>
    </xf>
    <xf numFmtId="165" fontId="5" fillId="2" borderId="1" xfId="1" applyNumberFormat="1" applyFont="1" applyFill="1" applyBorder="1" applyAlignment="1">
      <alignment vertical="center" wrapText="1" readingOrder="1"/>
    </xf>
    <xf numFmtId="165" fontId="5" fillId="2" borderId="1" xfId="1" applyNumberFormat="1" applyFont="1" applyFill="1" applyBorder="1" applyAlignment="1">
      <alignment vertical="center" wrapText="1" readingOrder="1"/>
    </xf>
    <xf numFmtId="165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165" fontId="5" fillId="0" borderId="1" xfId="0" applyNumberFormat="1" applyFont="1" applyFill="1" applyBorder="1" applyAlignment="1">
      <alignment horizontal="center" vertical="center" wrapText="1" readingOrder="1"/>
    </xf>
    <xf numFmtId="21" fontId="0" fillId="0" borderId="0" xfId="0" applyNumberFormat="1"/>
    <xf numFmtId="3" fontId="1" fillId="0" borderId="0" xfId="0" applyNumberFormat="1" applyFont="1"/>
    <xf numFmtId="4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0" borderId="0" xfId="0" applyFont="1" applyFill="1" applyBorder="1"/>
    <xf numFmtId="0" fontId="0" fillId="0" borderId="10" xfId="0" applyBorder="1"/>
    <xf numFmtId="165" fontId="5" fillId="2" borderId="1" xfId="1" applyNumberFormat="1" applyFont="1" applyFill="1" applyBorder="1" applyAlignment="1">
      <alignment vertical="center" wrapText="1" readingOrder="1"/>
    </xf>
    <xf numFmtId="43" fontId="0" fillId="0" borderId="0" xfId="0" applyNumberFormat="1"/>
    <xf numFmtId="0" fontId="16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4" xfId="0" applyFont="1" applyBorder="1" applyAlignment="1">
      <alignment horizontal="right" vertical="center"/>
    </xf>
    <xf numFmtId="3" fontId="16" fillId="0" borderId="14" xfId="0" applyNumberFormat="1" applyFont="1" applyBorder="1" applyAlignment="1">
      <alignment horizontal="right" vertical="center"/>
    </xf>
    <xf numFmtId="3" fontId="16" fillId="0" borderId="14" xfId="0" applyNumberFormat="1" applyFont="1" applyBorder="1" applyAlignment="1">
      <alignment vertical="center"/>
    </xf>
    <xf numFmtId="3" fontId="0" fillId="0" borderId="1" xfId="0" applyNumberFormat="1" applyFill="1" applyBorder="1"/>
    <xf numFmtId="4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/>
    <xf numFmtId="1" fontId="1" fillId="0" borderId="1" xfId="0" applyNumberFormat="1" applyFont="1" applyBorder="1"/>
    <xf numFmtId="165" fontId="5" fillId="2" borderId="1" xfId="1" applyNumberFormat="1" applyFont="1" applyFill="1" applyBorder="1" applyAlignment="1">
      <alignment vertical="center" wrapText="1" readingOrder="1"/>
    </xf>
    <xf numFmtId="2" fontId="0" fillId="0" borderId="1" xfId="0" applyNumberFormat="1" applyBorder="1" applyAlignment="1">
      <alignment wrapText="1"/>
    </xf>
    <xf numFmtId="0" fontId="1" fillId="0" borderId="1" xfId="0" applyFont="1" applyBorder="1" applyAlignment="1">
      <alignment vertical="center" wrapText="1"/>
    </xf>
    <xf numFmtId="166" fontId="0" fillId="0" borderId="0" xfId="0" applyNumberFormat="1"/>
    <xf numFmtId="2" fontId="0" fillId="0" borderId="1" xfId="0" applyNumberFormat="1" applyFill="1" applyBorder="1"/>
    <xf numFmtId="1" fontId="1" fillId="0" borderId="0" xfId="0" applyNumberFormat="1" applyFont="1"/>
    <xf numFmtId="165" fontId="5" fillId="2" borderId="1" xfId="1" applyNumberFormat="1" applyFont="1" applyFill="1" applyBorder="1" applyAlignment="1">
      <alignment vertical="center" wrapText="1" readingOrder="1"/>
    </xf>
    <xf numFmtId="0" fontId="0" fillId="0" borderId="0" xfId="0" applyAlignment="1">
      <alignment vertical="center"/>
    </xf>
    <xf numFmtId="0" fontId="8" fillId="0" borderId="2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vertical="center" wrapText="1"/>
    </xf>
    <xf numFmtId="167" fontId="8" fillId="0" borderId="1" xfId="0" applyNumberFormat="1" applyFont="1" applyBorder="1" applyAlignment="1">
      <alignment horizontal="center" vertical="center" wrapText="1" readingOrder="1"/>
    </xf>
    <xf numFmtId="17" fontId="13" fillId="0" borderId="1" xfId="0" applyNumberFormat="1" applyFont="1" applyBorder="1" applyAlignment="1">
      <alignment vertical="center"/>
    </xf>
    <xf numFmtId="165" fontId="0" fillId="0" borderId="0" xfId="0" applyNumberFormat="1"/>
    <xf numFmtId="165" fontId="1" fillId="0" borderId="0" xfId="0" applyNumberFormat="1" applyFont="1"/>
    <xf numFmtId="10" fontId="0" fillId="0" borderId="1" xfId="0" applyNumberFormat="1" applyBorder="1"/>
    <xf numFmtId="9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 readingOrder="1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165" fontId="2" fillId="2" borderId="1" xfId="1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vertical="center" wrapText="1" readingOrder="1"/>
    </xf>
    <xf numFmtId="0" fontId="1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 readingOrder="1"/>
    </xf>
    <xf numFmtId="3" fontId="8" fillId="2" borderId="1" xfId="0" applyNumberFormat="1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165" fontId="8" fillId="2" borderId="1" xfId="1" applyNumberFormat="1" applyFont="1" applyFill="1" applyBorder="1" applyAlignment="1">
      <alignment horizontal="center" wrapText="1" readingOrder="1"/>
    </xf>
    <xf numFmtId="43" fontId="8" fillId="2" borderId="1" xfId="1" applyFont="1" applyFill="1" applyBorder="1" applyAlignment="1">
      <alignment vertical="center" wrapText="1" readingOrder="1"/>
    </xf>
    <xf numFmtId="165" fontId="8" fillId="2" borderId="1" xfId="1" applyNumberFormat="1" applyFont="1" applyFill="1" applyBorder="1" applyAlignment="1">
      <alignment horizontal="center" vertical="center" wrapText="1" readingOrder="1"/>
    </xf>
    <xf numFmtId="165" fontId="8" fillId="2" borderId="1" xfId="1" applyNumberFormat="1" applyFont="1" applyFill="1" applyBorder="1" applyAlignment="1">
      <alignment vertical="center" wrapText="1" readingOrder="1"/>
    </xf>
    <xf numFmtId="17" fontId="13" fillId="2" borderId="1" xfId="0" applyNumberFormat="1" applyFont="1" applyFill="1" applyBorder="1" applyAlignment="1">
      <alignment vertical="center"/>
    </xf>
    <xf numFmtId="167" fontId="8" fillId="2" borderId="1" xfId="0" applyNumberFormat="1" applyFont="1" applyFill="1" applyBorder="1" applyAlignment="1">
      <alignment horizontal="center" vertical="center" wrapText="1" readingOrder="1"/>
    </xf>
    <xf numFmtId="0" fontId="1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 readingOrder="1"/>
    </xf>
    <xf numFmtId="1" fontId="0" fillId="0" borderId="1" xfId="0" applyNumberFormat="1" applyBorder="1" applyAlignment="1">
      <alignment horizontal="center"/>
    </xf>
    <xf numFmtId="168" fontId="0" fillId="0" borderId="1" xfId="0" applyNumberFormat="1" applyBorder="1"/>
    <xf numFmtId="0" fontId="2" fillId="3" borderId="1" xfId="0" applyFont="1" applyFill="1" applyBorder="1" applyAlignment="1">
      <alignment vertical="center" wrapText="1" readingOrder="1"/>
    </xf>
    <xf numFmtId="165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165" fontId="2" fillId="3" borderId="1" xfId="1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vertical="center" wrapText="1" readingOrder="1"/>
    </xf>
    <xf numFmtId="0" fontId="1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 readingOrder="1"/>
    </xf>
    <xf numFmtId="3" fontId="8" fillId="3" borderId="1" xfId="0" applyNumberFormat="1" applyFont="1" applyFill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center" vertical="center" wrapText="1" readingOrder="1"/>
    </xf>
    <xf numFmtId="165" fontId="8" fillId="3" borderId="1" xfId="1" applyNumberFormat="1" applyFont="1" applyFill="1" applyBorder="1" applyAlignment="1">
      <alignment horizontal="center" wrapText="1" readingOrder="1"/>
    </xf>
    <xf numFmtId="43" fontId="8" fillId="3" borderId="1" xfId="1" applyFont="1" applyFill="1" applyBorder="1" applyAlignment="1">
      <alignment vertical="center" wrapText="1" readingOrder="1"/>
    </xf>
    <xf numFmtId="167" fontId="8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vertical="center" wrapText="1" readingOrder="1"/>
    </xf>
    <xf numFmtId="0" fontId="0" fillId="3" borderId="1" xfId="0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 readingOrder="1"/>
    </xf>
    <xf numFmtId="4" fontId="1" fillId="0" borderId="1" xfId="0" applyNumberFormat="1" applyFont="1" applyBorder="1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17" fontId="13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" fontId="0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7" fontId="0" fillId="0" borderId="1" xfId="0" applyNumberFormat="1" applyBorder="1"/>
    <xf numFmtId="0" fontId="20" fillId="4" borderId="15" xfId="0" applyFont="1" applyFill="1" applyBorder="1" applyAlignment="1">
      <alignment horizontal="center" wrapText="1" readingOrder="1"/>
    </xf>
    <xf numFmtId="0" fontId="21" fillId="4" borderId="15" xfId="0" applyFont="1" applyFill="1" applyBorder="1" applyAlignment="1">
      <alignment horizontal="center" wrapText="1" readingOrder="1"/>
    </xf>
    <xf numFmtId="0" fontId="20" fillId="4" borderId="15" xfId="0" applyFont="1" applyFill="1" applyBorder="1" applyAlignment="1">
      <alignment horizontal="center" vertical="center" wrapText="1" readingOrder="1"/>
    </xf>
    <xf numFmtId="0" fontId="21" fillId="4" borderId="15" xfId="0" applyFont="1" applyFill="1" applyBorder="1" applyAlignment="1">
      <alignment horizontal="center" vertical="center" wrapText="1" readingOrder="1"/>
    </xf>
    <xf numFmtId="0" fontId="22" fillId="4" borderId="15" xfId="0" applyFont="1" applyFill="1" applyBorder="1" applyAlignment="1">
      <alignment horizontal="center" vertical="center" wrapText="1" readingOrder="1"/>
    </xf>
    <xf numFmtId="165" fontId="8" fillId="3" borderId="1" xfId="1" applyNumberFormat="1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left" vertical="center" wrapText="1" readingOrder="1"/>
    </xf>
    <xf numFmtId="0" fontId="0" fillId="3" borderId="1" xfId="0" applyFill="1" applyBorder="1" applyAlignment="1">
      <alignment vertical="center" wrapText="1" readingOrder="1"/>
    </xf>
    <xf numFmtId="0" fontId="0" fillId="0" borderId="1" xfId="0" applyBorder="1" applyAlignment="1"/>
    <xf numFmtId="0" fontId="0" fillId="0" borderId="0" xfId="0" applyBorder="1" applyAlignment="1"/>
    <xf numFmtId="0" fontId="5" fillId="2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vertical="center" wrapText="1" readingOrder="1"/>
    </xf>
    <xf numFmtId="0" fontId="9" fillId="2" borderId="1" xfId="0" applyFont="1" applyFill="1" applyBorder="1" applyAlignment="1">
      <alignment horizontal="left" vertical="center" wrapText="1" readingOrder="1"/>
    </xf>
    <xf numFmtId="0" fontId="10" fillId="0" borderId="1" xfId="0" applyFont="1" applyBorder="1" applyAlignment="1">
      <alignment vertical="center" wrapText="1" readingOrder="1"/>
    </xf>
    <xf numFmtId="165" fontId="5" fillId="2" borderId="1" xfId="1" applyNumberFormat="1" applyFont="1" applyFill="1" applyBorder="1" applyAlignment="1">
      <alignment vertical="center" wrapText="1" readingOrder="1"/>
    </xf>
    <xf numFmtId="165" fontId="0" fillId="0" borderId="1" xfId="1" applyNumberFormat="1" applyFont="1" applyBorder="1" applyAlignment="1">
      <alignment vertical="center" wrapText="1" readingOrder="1"/>
    </xf>
    <xf numFmtId="0" fontId="24" fillId="2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41" fontId="0" fillId="2" borderId="1" xfId="0" applyNumberFormat="1" applyFill="1" applyBorder="1"/>
    <xf numFmtId="41" fontId="0" fillId="5" borderId="1" xfId="0" applyNumberFormat="1" applyFill="1" applyBorder="1"/>
    <xf numFmtId="41" fontId="0" fillId="6" borderId="1" xfId="0" applyNumberFormat="1" applyFill="1" applyBorder="1"/>
    <xf numFmtId="41" fontId="23" fillId="2" borderId="1" xfId="0" applyNumberFormat="1" applyFont="1" applyFill="1" applyBorder="1"/>
    <xf numFmtId="0" fontId="25" fillId="0" borderId="1" xfId="0" applyFont="1" applyBorder="1"/>
    <xf numFmtId="41" fontId="25" fillId="2" borderId="1" xfId="0" applyNumberFormat="1" applyFont="1" applyFill="1" applyBorder="1"/>
    <xf numFmtId="41" fontId="25" fillId="5" borderId="1" xfId="0" applyNumberFormat="1" applyFont="1" applyFill="1" applyBorder="1"/>
    <xf numFmtId="41" fontId="25" fillId="6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tabSelected="1" workbookViewId="0">
      <selection activeCell="D27" sqref="D27"/>
    </sheetView>
  </sheetViews>
  <sheetFormatPr defaultRowHeight="15" x14ac:dyDescent="0.25"/>
  <cols>
    <col min="1" max="1" width="5.7109375" customWidth="1"/>
    <col min="2" max="2" width="33.7109375" customWidth="1"/>
    <col min="3" max="3" width="18.85546875" customWidth="1"/>
    <col min="4" max="4" width="12.7109375" bestFit="1" customWidth="1"/>
    <col min="5" max="5" width="11.28515625" customWidth="1"/>
    <col min="6" max="6" width="17.7109375" customWidth="1"/>
    <col min="7" max="7" width="20.42578125" customWidth="1"/>
    <col min="8" max="8" width="43.42578125" customWidth="1"/>
    <col min="9" max="9" width="14.5703125" customWidth="1"/>
    <col min="10" max="10" width="10.5703125" bestFit="1" customWidth="1"/>
  </cols>
  <sheetData>
    <row r="2" spans="2:8" x14ac:dyDescent="0.25">
      <c r="B2" t="s">
        <v>914</v>
      </c>
    </row>
    <row r="4" spans="2:8" x14ac:dyDescent="0.25">
      <c r="B4" s="1"/>
      <c r="C4" s="207" t="s">
        <v>915</v>
      </c>
      <c r="D4" s="207"/>
      <c r="E4" s="208" t="s">
        <v>916</v>
      </c>
      <c r="F4" s="208"/>
      <c r="G4" s="209" t="s">
        <v>917</v>
      </c>
      <c r="H4" s="209"/>
    </row>
    <row r="5" spans="2:8" ht="60" x14ac:dyDescent="0.25">
      <c r="B5" s="210" t="s">
        <v>32</v>
      </c>
      <c r="C5" s="211" t="s">
        <v>918</v>
      </c>
      <c r="D5" s="211" t="s">
        <v>919</v>
      </c>
      <c r="E5" s="212" t="s">
        <v>918</v>
      </c>
      <c r="F5" s="212" t="s">
        <v>919</v>
      </c>
      <c r="G5" s="213" t="s">
        <v>918</v>
      </c>
      <c r="H5" s="213" t="s">
        <v>919</v>
      </c>
    </row>
    <row r="6" spans="2:8" x14ac:dyDescent="0.25">
      <c r="B6" s="1" t="s">
        <v>325</v>
      </c>
      <c r="C6" s="214">
        <v>62708</v>
      </c>
      <c r="D6" s="214">
        <v>0</v>
      </c>
      <c r="E6" s="215">
        <v>62708</v>
      </c>
      <c r="F6" s="215">
        <v>0</v>
      </c>
      <c r="G6" s="216">
        <v>0</v>
      </c>
      <c r="H6" s="216">
        <v>0</v>
      </c>
    </row>
    <row r="7" spans="2:8" x14ac:dyDescent="0.25">
      <c r="B7" s="1" t="s">
        <v>570</v>
      </c>
      <c r="C7" s="214">
        <f>45249+10284</f>
        <v>55533</v>
      </c>
      <c r="D7" s="214">
        <v>0</v>
      </c>
      <c r="E7" s="215">
        <f>45249+10284</f>
        <v>55533</v>
      </c>
      <c r="F7" s="215">
        <v>0</v>
      </c>
      <c r="G7" s="216">
        <v>0</v>
      </c>
      <c r="H7" s="216">
        <v>0</v>
      </c>
    </row>
    <row r="8" spans="2:8" x14ac:dyDescent="0.25">
      <c r="B8" s="1" t="s">
        <v>68</v>
      </c>
      <c r="C8" s="214">
        <v>0</v>
      </c>
      <c r="D8" s="214">
        <v>141988</v>
      </c>
      <c r="E8" s="215">
        <v>0</v>
      </c>
      <c r="F8" s="215">
        <v>141988</v>
      </c>
      <c r="G8" s="216">
        <v>0</v>
      </c>
      <c r="H8" s="216">
        <v>0</v>
      </c>
    </row>
    <row r="9" spans="2:8" x14ac:dyDescent="0.25">
      <c r="B9" s="1" t="s">
        <v>99</v>
      </c>
      <c r="C9" s="214">
        <v>0</v>
      </c>
      <c r="D9" s="214">
        <v>292799</v>
      </c>
      <c r="E9" s="215">
        <v>0</v>
      </c>
      <c r="F9" s="215">
        <v>292799</v>
      </c>
      <c r="G9" s="216">
        <v>0</v>
      </c>
      <c r="H9" s="216">
        <v>0</v>
      </c>
    </row>
    <row r="10" spans="2:8" x14ac:dyDescent="0.25">
      <c r="B10" s="1" t="s">
        <v>639</v>
      </c>
      <c r="C10" s="214">
        <f>12750+12500</f>
        <v>25250</v>
      </c>
      <c r="D10" s="214">
        <v>19380</v>
      </c>
      <c r="E10" s="215">
        <f>12750+12500</f>
        <v>25250</v>
      </c>
      <c r="F10" s="215">
        <v>19380</v>
      </c>
      <c r="G10" s="216">
        <v>0</v>
      </c>
      <c r="H10" s="216">
        <v>0</v>
      </c>
    </row>
    <row r="11" spans="2:8" x14ac:dyDescent="0.25">
      <c r="B11" s="1" t="s">
        <v>925</v>
      </c>
      <c r="C11" s="214">
        <v>100000</v>
      </c>
      <c r="D11" s="214"/>
      <c r="E11" s="215">
        <v>100000</v>
      </c>
      <c r="F11" s="215"/>
      <c r="G11" s="216"/>
      <c r="H11" s="216"/>
    </row>
    <row r="12" spans="2:8" x14ac:dyDescent="0.25">
      <c r="B12" s="1" t="s">
        <v>323</v>
      </c>
      <c r="C12" s="214">
        <v>366522</v>
      </c>
      <c r="D12" s="214">
        <v>0</v>
      </c>
      <c r="E12" s="215">
        <v>366522</v>
      </c>
      <c r="F12" s="215">
        <v>0</v>
      </c>
      <c r="G12" s="216">
        <v>0</v>
      </c>
      <c r="H12" s="216">
        <v>0</v>
      </c>
    </row>
    <row r="13" spans="2:8" x14ac:dyDescent="0.25">
      <c r="B13" s="1" t="s">
        <v>152</v>
      </c>
      <c r="C13" s="214">
        <v>438041</v>
      </c>
      <c r="D13" s="214">
        <v>0</v>
      </c>
      <c r="E13" s="215">
        <v>438041</v>
      </c>
      <c r="F13" s="215">
        <v>0</v>
      </c>
      <c r="G13" s="216">
        <v>0</v>
      </c>
      <c r="H13" s="216">
        <v>0</v>
      </c>
    </row>
    <row r="14" spans="2:8" x14ac:dyDescent="0.25">
      <c r="B14" s="1" t="s">
        <v>422</v>
      </c>
      <c r="C14" s="214">
        <v>125068</v>
      </c>
      <c r="D14" s="214">
        <v>0</v>
      </c>
      <c r="E14" s="215">
        <v>0</v>
      </c>
      <c r="F14" s="215">
        <v>0</v>
      </c>
      <c r="G14" s="216">
        <v>0</v>
      </c>
      <c r="H14" s="216">
        <v>0</v>
      </c>
    </row>
    <row r="15" spans="2:8" x14ac:dyDescent="0.25">
      <c r="B15" s="1" t="s">
        <v>425</v>
      </c>
      <c r="C15" s="214">
        <v>58080</v>
      </c>
      <c r="D15" s="214">
        <v>0</v>
      </c>
      <c r="E15" s="215">
        <v>0</v>
      </c>
      <c r="F15" s="215">
        <v>0</v>
      </c>
      <c r="G15" s="216">
        <v>0</v>
      </c>
      <c r="H15" s="216">
        <v>0</v>
      </c>
    </row>
    <row r="16" spans="2:8" x14ac:dyDescent="0.25">
      <c r="B16" s="1" t="s">
        <v>577</v>
      </c>
      <c r="C16" s="214">
        <v>502561</v>
      </c>
      <c r="D16" s="214">
        <v>0</v>
      </c>
      <c r="E16" s="215">
        <v>502561</v>
      </c>
      <c r="F16" s="215">
        <v>0</v>
      </c>
      <c r="G16" s="216">
        <v>0</v>
      </c>
      <c r="H16" s="216">
        <v>0</v>
      </c>
    </row>
    <row r="17" spans="2:8" x14ac:dyDescent="0.25">
      <c r="B17" s="1" t="s">
        <v>920</v>
      </c>
      <c r="C17" s="214">
        <f>187378+63671</f>
        <v>251049</v>
      </c>
      <c r="D17" s="214">
        <v>0</v>
      </c>
      <c r="E17" s="215">
        <f>187378+63671</f>
        <v>251049</v>
      </c>
      <c r="F17" s="215">
        <v>0</v>
      </c>
      <c r="G17" s="216">
        <v>0</v>
      </c>
      <c r="H17" s="216">
        <v>0</v>
      </c>
    </row>
    <row r="18" spans="2:8" x14ac:dyDescent="0.25">
      <c r="B18" s="1" t="s">
        <v>632</v>
      </c>
      <c r="C18" s="214">
        <v>24575</v>
      </c>
      <c r="D18" s="214">
        <v>0</v>
      </c>
      <c r="E18" s="215">
        <v>24575</v>
      </c>
      <c r="F18" s="215">
        <v>0</v>
      </c>
      <c r="G18" s="216">
        <v>0</v>
      </c>
      <c r="H18" s="216">
        <v>0</v>
      </c>
    </row>
    <row r="19" spans="2:8" x14ac:dyDescent="0.25">
      <c r="B19" s="1" t="s">
        <v>638</v>
      </c>
      <c r="C19" s="214">
        <v>51038</v>
      </c>
      <c r="D19" s="214">
        <v>0</v>
      </c>
      <c r="E19" s="215">
        <v>51038</v>
      </c>
      <c r="F19" s="215">
        <v>0</v>
      </c>
      <c r="G19" s="216">
        <v>0</v>
      </c>
      <c r="H19" s="216">
        <v>0</v>
      </c>
    </row>
    <row r="20" spans="2:8" x14ac:dyDescent="0.25">
      <c r="B20" s="1" t="s">
        <v>305</v>
      </c>
      <c r="C20" s="214">
        <v>115730</v>
      </c>
      <c r="D20" s="214">
        <v>0</v>
      </c>
      <c r="E20" s="215">
        <v>115730</v>
      </c>
      <c r="F20" s="215">
        <v>0</v>
      </c>
      <c r="G20" s="216">
        <v>0</v>
      </c>
      <c r="H20" s="216">
        <v>0</v>
      </c>
    </row>
    <row r="21" spans="2:8" x14ac:dyDescent="0.25">
      <c r="B21" s="1" t="s">
        <v>93</v>
      </c>
      <c r="C21" s="214">
        <v>0</v>
      </c>
      <c r="D21" s="214">
        <v>30281</v>
      </c>
      <c r="E21" s="215">
        <v>0</v>
      </c>
      <c r="F21" s="215">
        <v>30281</v>
      </c>
      <c r="G21" s="216">
        <v>0</v>
      </c>
      <c r="H21" s="216">
        <v>0</v>
      </c>
    </row>
    <row r="22" spans="2:8" x14ac:dyDescent="0.25">
      <c r="B22" s="5" t="s">
        <v>30</v>
      </c>
      <c r="C22" s="214">
        <f>59518+4132</f>
        <v>63650</v>
      </c>
      <c r="D22" s="214">
        <v>0</v>
      </c>
      <c r="E22" s="215">
        <f>59518+4132</f>
        <v>63650</v>
      </c>
      <c r="F22" s="215">
        <v>0</v>
      </c>
      <c r="G22" s="216">
        <v>0</v>
      </c>
      <c r="H22" s="216">
        <v>0</v>
      </c>
    </row>
    <row r="23" spans="2:8" x14ac:dyDescent="0.25">
      <c r="B23" s="5" t="s">
        <v>27</v>
      </c>
      <c r="C23" s="214">
        <v>239429</v>
      </c>
      <c r="D23" s="214">
        <v>1787108</v>
      </c>
      <c r="E23" s="215">
        <v>239429</v>
      </c>
      <c r="F23" s="215">
        <v>1787108</v>
      </c>
      <c r="G23" s="216">
        <v>0</v>
      </c>
      <c r="H23" s="216">
        <v>0</v>
      </c>
    </row>
    <row r="24" spans="2:8" x14ac:dyDescent="0.25">
      <c r="B24" s="5" t="s">
        <v>47</v>
      </c>
      <c r="C24" s="214">
        <f>294792+20500</f>
        <v>315292</v>
      </c>
      <c r="D24" s="217">
        <v>48178</v>
      </c>
      <c r="E24" s="215">
        <f>294792+20500</f>
        <v>315292</v>
      </c>
      <c r="F24" s="215">
        <v>48178</v>
      </c>
      <c r="G24" s="216">
        <v>0</v>
      </c>
      <c r="H24" s="216">
        <v>0</v>
      </c>
    </row>
    <row r="25" spans="2:8" x14ac:dyDescent="0.25">
      <c r="B25" s="5" t="s">
        <v>70</v>
      </c>
      <c r="C25" s="214">
        <v>0</v>
      </c>
      <c r="D25" s="214">
        <v>0</v>
      </c>
      <c r="E25" s="215">
        <v>0</v>
      </c>
      <c r="F25" s="215">
        <v>0</v>
      </c>
      <c r="G25" s="216">
        <v>0</v>
      </c>
      <c r="H25" s="216">
        <v>0</v>
      </c>
    </row>
    <row r="26" spans="2:8" x14ac:dyDescent="0.25">
      <c r="B26" s="5" t="s">
        <v>104</v>
      </c>
      <c r="C26" s="214">
        <v>0</v>
      </c>
      <c r="D26" s="214">
        <v>0</v>
      </c>
      <c r="E26" s="215">
        <v>0</v>
      </c>
      <c r="F26" s="215">
        <v>0</v>
      </c>
      <c r="G26" s="216">
        <v>0</v>
      </c>
      <c r="H26" s="216">
        <v>0</v>
      </c>
    </row>
    <row r="27" spans="2:8" x14ac:dyDescent="0.25">
      <c r="B27" s="5" t="s">
        <v>921</v>
      </c>
      <c r="C27" s="214">
        <v>0</v>
      </c>
      <c r="D27" s="214">
        <v>1156172</v>
      </c>
      <c r="E27" s="215">
        <v>0</v>
      </c>
      <c r="F27" s="215">
        <v>0</v>
      </c>
      <c r="G27" s="216">
        <v>0</v>
      </c>
      <c r="H27" s="216">
        <v>1156172</v>
      </c>
    </row>
    <row r="28" spans="2:8" x14ac:dyDescent="0.25">
      <c r="B28" s="5" t="s">
        <v>219</v>
      </c>
      <c r="C28" s="214">
        <v>149705</v>
      </c>
      <c r="D28" s="214">
        <v>0</v>
      </c>
      <c r="E28" s="215">
        <v>0</v>
      </c>
      <c r="F28" s="215">
        <v>0</v>
      </c>
      <c r="G28" s="216">
        <v>149705</v>
      </c>
      <c r="H28" s="216">
        <v>0</v>
      </c>
    </row>
    <row r="29" spans="2:8" x14ac:dyDescent="0.25">
      <c r="B29" s="5" t="s">
        <v>641</v>
      </c>
      <c r="C29" s="214">
        <v>7218</v>
      </c>
      <c r="D29" s="214">
        <v>0</v>
      </c>
      <c r="E29" s="215">
        <v>7218</v>
      </c>
      <c r="F29" s="215">
        <v>0</v>
      </c>
      <c r="G29" s="216">
        <v>0</v>
      </c>
      <c r="H29" s="216">
        <v>0</v>
      </c>
    </row>
    <row r="30" spans="2:8" x14ac:dyDescent="0.25">
      <c r="B30" s="5" t="s">
        <v>922</v>
      </c>
      <c r="C30" s="214">
        <v>146473</v>
      </c>
      <c r="D30" s="214">
        <v>0</v>
      </c>
      <c r="E30" s="215">
        <v>146473</v>
      </c>
      <c r="F30" s="215">
        <v>0</v>
      </c>
      <c r="G30" s="216">
        <v>0</v>
      </c>
      <c r="H30" s="216">
        <v>0</v>
      </c>
    </row>
    <row r="31" spans="2:8" x14ac:dyDescent="0.25">
      <c r="B31" s="5" t="s">
        <v>923</v>
      </c>
      <c r="C31" s="214">
        <v>45517</v>
      </c>
      <c r="D31" s="214">
        <v>0</v>
      </c>
      <c r="E31" s="215">
        <v>45517</v>
      </c>
      <c r="F31" s="215">
        <v>0</v>
      </c>
      <c r="G31" s="216">
        <v>0</v>
      </c>
      <c r="H31" s="216">
        <v>0</v>
      </c>
    </row>
    <row r="32" spans="2:8" x14ac:dyDescent="0.25">
      <c r="B32" s="5" t="s">
        <v>102</v>
      </c>
      <c r="C32" s="214">
        <v>0</v>
      </c>
      <c r="D32" s="214">
        <v>429014</v>
      </c>
      <c r="E32" s="215">
        <v>0</v>
      </c>
      <c r="F32" s="215">
        <v>429014</v>
      </c>
      <c r="G32" s="216">
        <v>0</v>
      </c>
      <c r="H32" s="216">
        <v>0</v>
      </c>
    </row>
    <row r="33" spans="2:8" x14ac:dyDescent="0.25">
      <c r="B33" s="5" t="s">
        <v>786</v>
      </c>
      <c r="C33" s="214">
        <f>220304+75265</f>
        <v>295569</v>
      </c>
      <c r="D33" s="214">
        <v>0</v>
      </c>
      <c r="E33" s="215">
        <f>220304+75265</f>
        <v>295569</v>
      </c>
      <c r="F33" s="215">
        <v>0</v>
      </c>
      <c r="G33" s="216">
        <v>0</v>
      </c>
      <c r="H33" s="216">
        <v>0</v>
      </c>
    </row>
    <row r="34" spans="2:8" x14ac:dyDescent="0.25">
      <c r="B34" s="5" t="s">
        <v>836</v>
      </c>
      <c r="C34" s="214">
        <f>100975+81277</f>
        <v>182252</v>
      </c>
      <c r="D34" s="214">
        <v>0</v>
      </c>
      <c r="E34" s="215">
        <f>100975+81277</f>
        <v>182252</v>
      </c>
      <c r="F34" s="215">
        <v>0</v>
      </c>
      <c r="G34" s="216">
        <v>0</v>
      </c>
      <c r="H34" s="216">
        <v>0</v>
      </c>
    </row>
    <row r="35" spans="2:8" x14ac:dyDescent="0.25">
      <c r="B35" s="5" t="s">
        <v>780</v>
      </c>
      <c r="C35" s="214">
        <f>138289+83729+50983</f>
        <v>273001</v>
      </c>
      <c r="D35" s="214">
        <v>0</v>
      </c>
      <c r="E35" s="215">
        <f>138289+83729+50983</f>
        <v>273001</v>
      </c>
      <c r="F35" s="215">
        <v>0</v>
      </c>
      <c r="G35" s="216">
        <v>0</v>
      </c>
      <c r="H35" s="216">
        <v>0</v>
      </c>
    </row>
    <row r="36" spans="2:8" ht="15.75" x14ac:dyDescent="0.25">
      <c r="B36" s="218" t="s">
        <v>924</v>
      </c>
      <c r="C36" s="219">
        <f>SUM(C6:C35)</f>
        <v>3894261</v>
      </c>
      <c r="D36" s="219">
        <f t="shared" ref="D36:H36" si="0">SUM(D6:D35)</f>
        <v>3904920</v>
      </c>
      <c r="E36" s="220">
        <f t="shared" si="0"/>
        <v>3561408</v>
      </c>
      <c r="F36" s="220">
        <f t="shared" si="0"/>
        <v>2748748</v>
      </c>
      <c r="G36" s="221">
        <f t="shared" si="0"/>
        <v>149705</v>
      </c>
      <c r="H36" s="221">
        <f t="shared" si="0"/>
        <v>1156172</v>
      </c>
    </row>
  </sheetData>
  <mergeCells count="3">
    <mergeCell ref="G4:H4"/>
    <mergeCell ref="C4:D4"/>
    <mergeCell ref="E4:F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2" zoomScale="86" zoomScaleNormal="86" workbookViewId="0">
      <selection activeCell="G12" sqref="G12"/>
    </sheetView>
  </sheetViews>
  <sheetFormatPr defaultColWidth="19.7109375" defaultRowHeight="15" x14ac:dyDescent="0.25"/>
  <cols>
    <col min="2" max="2" width="21.5703125" bestFit="1" customWidth="1"/>
    <col min="3" max="3" width="34.5703125" style="29" customWidth="1"/>
    <col min="4" max="4" width="13.85546875" bestFit="1" customWidth="1"/>
    <col min="5" max="5" width="14.140625" customWidth="1"/>
    <col min="6" max="7" width="20.42578125" bestFit="1" customWidth="1"/>
    <col min="8" max="8" width="15.140625" customWidth="1"/>
    <col min="9" max="9" width="24" bestFit="1" customWidth="1"/>
    <col min="10" max="10" width="10.85546875" customWidth="1"/>
  </cols>
  <sheetData>
    <row r="2" spans="2:11" ht="21" x14ac:dyDescent="0.35">
      <c r="B2" s="71" t="s">
        <v>729</v>
      </c>
    </row>
    <row r="3" spans="2:11" ht="27" x14ac:dyDescent="0.25">
      <c r="B3" s="27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1" ht="27" x14ac:dyDescent="0.25">
      <c r="B4" s="146" t="s">
        <v>568</v>
      </c>
      <c r="C4" s="147" t="s">
        <v>99</v>
      </c>
      <c r="D4" s="148">
        <f>'Dec 2016'!D48</f>
        <v>1875380</v>
      </c>
      <c r="E4" s="149" t="s">
        <v>39</v>
      </c>
      <c r="F4" s="149" t="s">
        <v>100</v>
      </c>
      <c r="G4" s="150"/>
      <c r="H4" s="150">
        <f>'Dec 2016'!K48</f>
        <v>28731.39999999994</v>
      </c>
      <c r="I4" s="151" t="s">
        <v>101</v>
      </c>
      <c r="J4" s="149"/>
      <c r="K4">
        <v>1</v>
      </c>
    </row>
    <row r="5" spans="2:11" ht="27" x14ac:dyDescent="0.25">
      <c r="B5" s="146" t="s">
        <v>569</v>
      </c>
      <c r="C5" s="147" t="s">
        <v>570</v>
      </c>
      <c r="D5" s="148">
        <f>'Dec 2016'!F48</f>
        <v>1719900</v>
      </c>
      <c r="E5" s="149" t="s">
        <v>39</v>
      </c>
      <c r="F5" s="149" t="s">
        <v>571</v>
      </c>
      <c r="G5" s="150">
        <f>'Dec 2016'!O48</f>
        <v>8063.6000000000022</v>
      </c>
      <c r="H5" s="150"/>
      <c r="I5" s="151" t="s">
        <v>101</v>
      </c>
      <c r="J5" s="149" t="s">
        <v>48</v>
      </c>
      <c r="K5">
        <v>2</v>
      </c>
    </row>
    <row r="6" spans="2:11" ht="27" x14ac:dyDescent="0.25">
      <c r="B6" s="152" t="s">
        <v>98</v>
      </c>
      <c r="C6" s="147" t="s">
        <v>102</v>
      </c>
      <c r="D6" s="148">
        <f>'Dec 2016'!D72</f>
        <v>18200</v>
      </c>
      <c r="E6" s="149" t="s">
        <v>23</v>
      </c>
      <c r="F6" s="149" t="s">
        <v>103</v>
      </c>
      <c r="G6" s="150"/>
      <c r="H6" s="150">
        <f>'Dec 2016'!K72</f>
        <v>43318.599999999926</v>
      </c>
      <c r="I6" s="151" t="s">
        <v>101</v>
      </c>
      <c r="J6" s="149" t="s">
        <v>48</v>
      </c>
      <c r="K6">
        <v>3</v>
      </c>
    </row>
    <row r="7" spans="2:11" x14ac:dyDescent="0.25">
      <c r="B7" s="152" t="s">
        <v>299</v>
      </c>
      <c r="C7" s="147" t="s">
        <v>418</v>
      </c>
      <c r="D7" s="148">
        <f>'Dec 2016'!D82</f>
        <v>52500</v>
      </c>
      <c r="E7" s="149" t="s">
        <v>29</v>
      </c>
      <c r="F7" s="149" t="s">
        <v>419</v>
      </c>
      <c r="G7" s="150">
        <f>'Dec 2016'!J82</f>
        <v>24622.5</v>
      </c>
      <c r="H7" s="150"/>
      <c r="I7" s="151" t="s">
        <v>301</v>
      </c>
      <c r="J7" s="149" t="s">
        <v>48</v>
      </c>
      <c r="K7">
        <v>4</v>
      </c>
    </row>
    <row r="8" spans="2:11" x14ac:dyDescent="0.25">
      <c r="B8" s="62" t="s">
        <v>572</v>
      </c>
      <c r="C8" s="62" t="s">
        <v>47</v>
      </c>
      <c r="D8" s="55">
        <f>'Dec 2016'!D101</f>
        <v>208230</v>
      </c>
      <c r="E8" s="56" t="s">
        <v>29</v>
      </c>
      <c r="F8" s="56" t="s">
        <v>55</v>
      </c>
      <c r="G8" s="88">
        <f>'Dec 2016'!J101</f>
        <v>23936.5</v>
      </c>
      <c r="H8" s="88"/>
      <c r="I8" s="79" t="s">
        <v>41</v>
      </c>
      <c r="J8" s="58" t="s">
        <v>48</v>
      </c>
      <c r="K8">
        <v>5</v>
      </c>
    </row>
    <row r="9" spans="2:11" ht="27.75" x14ac:dyDescent="0.25">
      <c r="B9" s="62" t="s">
        <v>575</v>
      </c>
      <c r="C9" s="62" t="s">
        <v>573</v>
      </c>
      <c r="D9" s="55">
        <f>'Dec 2016'!E101</f>
        <v>169830</v>
      </c>
      <c r="E9" s="56" t="s">
        <v>29</v>
      </c>
      <c r="F9" s="56" t="s">
        <v>574</v>
      </c>
      <c r="G9" s="88">
        <f>'Dec 2016'!N101</f>
        <v>16013.2</v>
      </c>
      <c r="H9" s="88"/>
      <c r="I9" s="79" t="s">
        <v>41</v>
      </c>
      <c r="J9" s="58"/>
      <c r="K9">
        <v>6</v>
      </c>
    </row>
    <row r="10" spans="2:11" ht="30" x14ac:dyDescent="0.25">
      <c r="B10" s="69" t="s">
        <v>630</v>
      </c>
      <c r="C10" s="62" t="s">
        <v>631</v>
      </c>
      <c r="D10" s="55">
        <f>'Dec 2016'!D114</f>
        <v>965850</v>
      </c>
      <c r="E10" s="56" t="s">
        <v>25</v>
      </c>
      <c r="F10" s="56" t="s">
        <v>634</v>
      </c>
      <c r="G10" s="88">
        <f>'Dec 2016'!K114</f>
        <v>6949.1309999999876</v>
      </c>
      <c r="H10" s="88"/>
      <c r="I10" s="79" t="s">
        <v>633</v>
      </c>
      <c r="J10" s="58" t="s">
        <v>48</v>
      </c>
      <c r="K10">
        <v>7</v>
      </c>
    </row>
    <row r="11" spans="2:11" x14ac:dyDescent="0.25">
      <c r="B11" s="69" t="s">
        <v>260</v>
      </c>
      <c r="C11" s="62" t="s">
        <v>219</v>
      </c>
      <c r="D11" s="55">
        <f>'Dec 2016'!D144</f>
        <v>1236000</v>
      </c>
      <c r="E11" s="56" t="s">
        <v>25</v>
      </c>
      <c r="F11" s="56" t="s">
        <v>297</v>
      </c>
      <c r="G11" s="88">
        <f>'Dec 2016'!F144</f>
        <v>43453.125</v>
      </c>
      <c r="H11" s="88"/>
      <c r="I11" s="79"/>
      <c r="J11" s="58" t="s">
        <v>49</v>
      </c>
      <c r="K11">
        <v>8</v>
      </c>
    </row>
    <row r="12" spans="2:11" x14ac:dyDescent="0.25">
      <c r="B12" s="69" t="s">
        <v>630</v>
      </c>
      <c r="C12" s="62" t="s">
        <v>640</v>
      </c>
      <c r="D12" s="55">
        <f>'Dec 2016'!D121</f>
        <v>1441.8899999999999</v>
      </c>
      <c r="E12" s="56"/>
      <c r="F12" s="56">
        <v>8.64</v>
      </c>
      <c r="G12" s="88">
        <f>'Dec 2016'!J121</f>
        <v>12457.929599999979</v>
      </c>
      <c r="H12" s="88"/>
      <c r="I12" s="79" t="s">
        <v>647</v>
      </c>
      <c r="J12" s="58" t="s">
        <v>48</v>
      </c>
      <c r="K12">
        <v>9</v>
      </c>
    </row>
    <row r="13" spans="2:11" ht="27" x14ac:dyDescent="0.25">
      <c r="B13" s="152" t="s">
        <v>308</v>
      </c>
      <c r="C13" s="163" t="s">
        <v>30</v>
      </c>
      <c r="D13" s="148">
        <f>'Dec 2016'!D131</f>
        <v>1154.0999999999999</v>
      </c>
      <c r="E13" s="149" t="s">
        <v>23</v>
      </c>
      <c r="F13" s="149" t="s">
        <v>307</v>
      </c>
      <c r="G13" s="150">
        <f>'Dec 2016'!J131</f>
        <v>8367.2250000000004</v>
      </c>
      <c r="H13" s="150"/>
      <c r="I13" s="151" t="s">
        <v>97</v>
      </c>
      <c r="J13" s="149" t="s">
        <v>48</v>
      </c>
      <c r="K13">
        <v>10</v>
      </c>
    </row>
    <row r="14" spans="2:11" ht="19.5" x14ac:dyDescent="0.25">
      <c r="B14" s="19"/>
      <c r="C14" s="201" t="s">
        <v>42</v>
      </c>
      <c r="D14" s="202"/>
      <c r="E14" s="31"/>
      <c r="F14" s="31"/>
      <c r="G14" s="93">
        <f>SUM(G4:G13)</f>
        <v>143863.21059999999</v>
      </c>
      <c r="H14" s="93">
        <f>SUM(H4:H13)</f>
        <v>72049.999999999869</v>
      </c>
      <c r="I14" s="94">
        <f>G14+H14</f>
        <v>215913.21059999987</v>
      </c>
      <c r="J14" s="23"/>
      <c r="K14">
        <v>11</v>
      </c>
    </row>
    <row r="21" spans="3:6" x14ac:dyDescent="0.25">
      <c r="C21"/>
      <c r="D21" s="18"/>
    </row>
    <row r="22" spans="3:6" x14ac:dyDescent="0.25">
      <c r="C22"/>
      <c r="D22" s="18"/>
    </row>
    <row r="26" spans="3:6" x14ac:dyDescent="0.25">
      <c r="D26" s="104"/>
    </row>
    <row r="27" spans="3:6" x14ac:dyDescent="0.25">
      <c r="D27" s="106"/>
    </row>
    <row r="28" spans="3:6" x14ac:dyDescent="0.25">
      <c r="D28" s="104"/>
    </row>
    <row r="29" spans="3:6" x14ac:dyDescent="0.25">
      <c r="D29" s="141"/>
      <c r="F29" s="142"/>
    </row>
    <row r="33" spans="6:6" x14ac:dyDescent="0.25">
      <c r="F33" s="6"/>
    </row>
  </sheetData>
  <mergeCells count="1">
    <mergeCell ref="C14:D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7"/>
  <sheetViews>
    <sheetView topLeftCell="A102" workbookViewId="0">
      <selection activeCell="E133" sqref="E133"/>
    </sheetView>
  </sheetViews>
  <sheetFormatPr defaultRowHeight="15" x14ac:dyDescent="0.25"/>
  <cols>
    <col min="2" max="2" width="45.85546875" bestFit="1" customWidth="1"/>
    <col min="5" max="5" width="14.140625" bestFit="1" customWidth="1"/>
    <col min="6" max="6" width="12.28515625" bestFit="1" customWidth="1"/>
    <col min="7" max="7" width="12.5703125" bestFit="1" customWidth="1"/>
    <col min="8" max="8" width="13.42578125" bestFit="1" customWidth="1"/>
    <col min="13" max="13" width="12.85546875" bestFit="1" customWidth="1"/>
    <col min="14" max="14" width="10.85546875" customWidth="1"/>
    <col min="15" max="15" width="12" bestFit="1" customWidth="1"/>
  </cols>
  <sheetData>
    <row r="2" spans="1:15" x14ac:dyDescent="0.25">
      <c r="H2" s="20">
        <f>K48+O48+K72+J82+N101+J101+K114+J121+J131+F144</f>
        <v>215913.21059999985</v>
      </c>
    </row>
    <row r="3" spans="1:15" x14ac:dyDescent="0.25">
      <c r="A3" t="s">
        <v>656</v>
      </c>
    </row>
    <row r="4" spans="1:15" x14ac:dyDescent="0.25">
      <c r="A4" s="1" t="s">
        <v>167</v>
      </c>
      <c r="B4" s="1" t="s">
        <v>169</v>
      </c>
      <c r="C4" s="1"/>
      <c r="D4" s="1" t="s">
        <v>22</v>
      </c>
      <c r="E4" s="1" t="s">
        <v>593</v>
      </c>
      <c r="F4" s="1" t="s">
        <v>592</v>
      </c>
      <c r="G4" s="1" t="s">
        <v>567</v>
      </c>
      <c r="H4" s="1" t="s">
        <v>50</v>
      </c>
      <c r="I4" s="1" t="s">
        <v>466</v>
      </c>
      <c r="J4" s="1" t="s">
        <v>52</v>
      </c>
      <c r="K4" s="1" t="s">
        <v>21</v>
      </c>
      <c r="L4" s="4" t="s">
        <v>506</v>
      </c>
      <c r="M4" s="4" t="s">
        <v>507</v>
      </c>
      <c r="N4" s="1" t="s">
        <v>505</v>
      </c>
      <c r="O4" s="1" t="s">
        <v>504</v>
      </c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1"/>
      <c r="O5" s="1"/>
    </row>
    <row r="6" spans="1:15" x14ac:dyDescent="0.25">
      <c r="A6" s="1">
        <v>1000044</v>
      </c>
      <c r="B6" s="1" t="s">
        <v>269</v>
      </c>
      <c r="C6" s="1" t="s">
        <v>39</v>
      </c>
      <c r="D6" s="2">
        <v>13000</v>
      </c>
      <c r="E6" s="1" t="s">
        <v>702</v>
      </c>
      <c r="F6" s="1">
        <v>5000264975</v>
      </c>
      <c r="G6" s="1">
        <v>105</v>
      </c>
      <c r="H6" s="3">
        <v>150</v>
      </c>
      <c r="I6" s="3">
        <v>153</v>
      </c>
      <c r="J6" s="3">
        <f t="shared" ref="J6" si="0">I6-H6</f>
        <v>3</v>
      </c>
      <c r="K6" s="3">
        <f>J6*D6/325</f>
        <v>120</v>
      </c>
      <c r="L6" s="4"/>
      <c r="M6" s="4"/>
      <c r="N6" s="1"/>
      <c r="O6" s="1"/>
    </row>
    <row r="7" spans="1:15" x14ac:dyDescent="0.25">
      <c r="A7" s="1">
        <v>1000044</v>
      </c>
      <c r="B7" s="1" t="s">
        <v>269</v>
      </c>
      <c r="C7" s="1" t="s">
        <v>39</v>
      </c>
      <c r="D7" s="2">
        <v>13000</v>
      </c>
      <c r="E7" s="1" t="s">
        <v>702</v>
      </c>
      <c r="F7" s="1">
        <v>5000265458</v>
      </c>
      <c r="G7" s="1">
        <v>105</v>
      </c>
      <c r="H7" s="3">
        <v>150</v>
      </c>
      <c r="I7" s="3">
        <v>153</v>
      </c>
      <c r="J7" s="3">
        <f t="shared" ref="J7" si="1">I7-H7</f>
        <v>3</v>
      </c>
      <c r="K7" s="3">
        <f>J7*D7/325</f>
        <v>120</v>
      </c>
      <c r="L7" s="4"/>
      <c r="M7" s="4"/>
      <c r="N7" s="1"/>
      <c r="O7" s="1"/>
    </row>
    <row r="8" spans="1:15" x14ac:dyDescent="0.25">
      <c r="A8" s="1">
        <v>1000044</v>
      </c>
      <c r="B8" s="1"/>
      <c r="C8" s="1" t="s">
        <v>39</v>
      </c>
      <c r="D8" s="2">
        <v>26000</v>
      </c>
      <c r="E8" s="1"/>
      <c r="F8" s="1"/>
      <c r="G8" s="1"/>
      <c r="H8" s="1"/>
      <c r="I8" s="1"/>
      <c r="J8" s="1"/>
      <c r="K8" s="1"/>
      <c r="L8" s="4"/>
      <c r="M8" s="4"/>
      <c r="N8" s="1"/>
      <c r="O8" s="1"/>
    </row>
    <row r="9" spans="1:15" x14ac:dyDescent="0.25">
      <c r="A9" s="1">
        <v>1000065</v>
      </c>
      <c r="B9" s="1" t="s">
        <v>80</v>
      </c>
      <c r="C9" s="1" t="s">
        <v>39</v>
      </c>
      <c r="D9" s="2">
        <v>28600</v>
      </c>
      <c r="E9" s="1" t="s">
        <v>705</v>
      </c>
      <c r="F9" s="1">
        <v>5000267174</v>
      </c>
      <c r="G9" s="1">
        <v>105</v>
      </c>
      <c r="H9" s="3">
        <v>41.3</v>
      </c>
      <c r="I9" s="3">
        <v>43.38</v>
      </c>
      <c r="J9" s="3">
        <f t="shared" ref="J9:J10" si="2">I9-H9</f>
        <v>2.0800000000000054</v>
      </c>
      <c r="K9" s="3">
        <f t="shared" ref="K9:K10" si="3">J9*D9/130</f>
        <v>457.60000000000116</v>
      </c>
      <c r="L9" s="4"/>
      <c r="M9" s="4"/>
      <c r="N9" s="1"/>
      <c r="O9" s="1"/>
    </row>
    <row r="10" spans="1:15" x14ac:dyDescent="0.25">
      <c r="A10" s="1">
        <v>1000065</v>
      </c>
      <c r="B10" s="1" t="s">
        <v>80</v>
      </c>
      <c r="C10" s="1" t="s">
        <v>39</v>
      </c>
      <c r="D10" s="2">
        <v>10400</v>
      </c>
      <c r="E10" s="1" t="s">
        <v>705</v>
      </c>
      <c r="F10" s="1">
        <v>5000267174</v>
      </c>
      <c r="G10" s="1">
        <v>105</v>
      </c>
      <c r="H10" s="3">
        <v>41.3</v>
      </c>
      <c r="I10" s="3">
        <v>43.38</v>
      </c>
      <c r="J10" s="3">
        <f t="shared" si="2"/>
        <v>2.0800000000000054</v>
      </c>
      <c r="K10" s="3">
        <f t="shared" si="3"/>
        <v>166.40000000000043</v>
      </c>
      <c r="L10" s="4"/>
      <c r="M10" s="4"/>
      <c r="N10" s="1"/>
      <c r="O10" s="1"/>
    </row>
    <row r="11" spans="1:15" x14ac:dyDescent="0.25">
      <c r="A11" s="1">
        <v>1000065</v>
      </c>
      <c r="B11" s="1"/>
      <c r="C11" s="1" t="s">
        <v>39</v>
      </c>
      <c r="D11" s="2">
        <v>39000</v>
      </c>
      <c r="E11" s="1"/>
      <c r="F11" s="1"/>
      <c r="G11" s="1"/>
      <c r="H11" s="1"/>
      <c r="I11" s="1"/>
      <c r="J11" s="1"/>
      <c r="K11" s="1"/>
      <c r="L11" s="4"/>
      <c r="M11" s="4"/>
      <c r="N11" s="1"/>
      <c r="O11" s="1"/>
    </row>
    <row r="12" spans="1:15" x14ac:dyDescent="0.25">
      <c r="A12" s="1">
        <v>1000074</v>
      </c>
      <c r="B12" s="1" t="s">
        <v>81</v>
      </c>
      <c r="C12" s="1" t="s">
        <v>39</v>
      </c>
      <c r="D12" s="2">
        <v>13000</v>
      </c>
      <c r="E12" s="1" t="s">
        <v>702</v>
      </c>
      <c r="F12" s="1">
        <v>5000264975</v>
      </c>
      <c r="G12" s="1">
        <v>105</v>
      </c>
      <c r="H12" s="3">
        <v>41.3</v>
      </c>
      <c r="I12" s="3">
        <v>43.38</v>
      </c>
      <c r="J12" s="3">
        <f t="shared" ref="J12:J16" si="4">I12-H12</f>
        <v>2.0800000000000054</v>
      </c>
      <c r="K12" s="3">
        <f t="shared" ref="K12:K16" si="5">J12*D12/130</f>
        <v>208.00000000000054</v>
      </c>
      <c r="L12" s="4"/>
      <c r="M12" s="4"/>
      <c r="N12" s="1"/>
      <c r="O12" s="1"/>
    </row>
    <row r="13" spans="1:15" x14ac:dyDescent="0.25">
      <c r="A13" s="1">
        <v>1000074</v>
      </c>
      <c r="B13" s="1" t="s">
        <v>81</v>
      </c>
      <c r="C13" s="1" t="s">
        <v>39</v>
      </c>
      <c r="D13" s="2">
        <v>13000</v>
      </c>
      <c r="E13" s="1" t="s">
        <v>702</v>
      </c>
      <c r="F13" s="1">
        <v>5000265458</v>
      </c>
      <c r="G13" s="1">
        <v>105</v>
      </c>
      <c r="H13" s="3">
        <v>41.3</v>
      </c>
      <c r="I13" s="3">
        <v>43.38</v>
      </c>
      <c r="J13" s="3">
        <f t="shared" si="4"/>
        <v>2.0800000000000054</v>
      </c>
      <c r="K13" s="3">
        <f t="shared" si="5"/>
        <v>208.00000000000054</v>
      </c>
      <c r="L13" s="4"/>
      <c r="M13" s="4"/>
      <c r="N13" s="1"/>
      <c r="O13" s="1"/>
    </row>
    <row r="14" spans="1:15" x14ac:dyDescent="0.25">
      <c r="A14" s="1">
        <v>1000074</v>
      </c>
      <c r="B14" s="1" t="s">
        <v>81</v>
      </c>
      <c r="C14" s="1" t="s">
        <v>39</v>
      </c>
      <c r="D14" s="2">
        <v>13000</v>
      </c>
      <c r="E14" s="1" t="s">
        <v>705</v>
      </c>
      <c r="F14" s="1">
        <v>5000267174</v>
      </c>
      <c r="G14" s="1">
        <v>105</v>
      </c>
      <c r="H14" s="3">
        <v>41.3</v>
      </c>
      <c r="I14" s="3">
        <v>43.38</v>
      </c>
      <c r="J14" s="3">
        <f t="shared" si="4"/>
        <v>2.0800000000000054</v>
      </c>
      <c r="K14" s="3">
        <f t="shared" si="5"/>
        <v>208.00000000000054</v>
      </c>
      <c r="L14" s="4"/>
      <c r="M14" s="4"/>
      <c r="N14" s="1"/>
      <c r="O14" s="1"/>
    </row>
    <row r="15" spans="1:15" x14ac:dyDescent="0.25">
      <c r="A15" s="1">
        <v>1000074</v>
      </c>
      <c r="B15" s="1" t="s">
        <v>81</v>
      </c>
      <c r="C15" s="1" t="s">
        <v>39</v>
      </c>
      <c r="D15" s="2">
        <v>13000</v>
      </c>
      <c r="E15" s="1" t="s">
        <v>705</v>
      </c>
      <c r="F15" s="1">
        <v>5000267174</v>
      </c>
      <c r="G15" s="1">
        <v>105</v>
      </c>
      <c r="H15" s="3">
        <v>41.3</v>
      </c>
      <c r="I15" s="3">
        <v>43.38</v>
      </c>
      <c r="J15" s="3">
        <f t="shared" si="4"/>
        <v>2.0800000000000054</v>
      </c>
      <c r="K15" s="3">
        <f t="shared" si="5"/>
        <v>208.00000000000054</v>
      </c>
      <c r="L15" s="4"/>
      <c r="M15" s="4"/>
      <c r="N15" s="1"/>
      <c r="O15" s="1"/>
    </row>
    <row r="16" spans="1:15" x14ac:dyDescent="0.25">
      <c r="A16" s="1">
        <v>1000074</v>
      </c>
      <c r="B16" s="1" t="s">
        <v>81</v>
      </c>
      <c r="C16" s="1" t="s">
        <v>39</v>
      </c>
      <c r="D16" s="2">
        <v>13000</v>
      </c>
      <c r="E16" s="1" t="s">
        <v>705</v>
      </c>
      <c r="F16" s="1">
        <v>5000267174</v>
      </c>
      <c r="G16" s="1">
        <v>105</v>
      </c>
      <c r="H16" s="3">
        <v>41.3</v>
      </c>
      <c r="I16" s="3">
        <v>43.38</v>
      </c>
      <c r="J16" s="3">
        <f t="shared" si="4"/>
        <v>2.0800000000000054</v>
      </c>
      <c r="K16" s="3">
        <f t="shared" si="5"/>
        <v>208.00000000000054</v>
      </c>
      <c r="L16" s="4"/>
      <c r="M16" s="4"/>
      <c r="N16" s="1"/>
      <c r="O16" s="1"/>
    </row>
    <row r="17" spans="1:15" x14ac:dyDescent="0.25">
      <c r="A17" s="1">
        <v>1000074</v>
      </c>
      <c r="B17" s="1"/>
      <c r="C17" s="1" t="s">
        <v>39</v>
      </c>
      <c r="D17" s="2">
        <v>65000</v>
      </c>
      <c r="E17" s="1"/>
      <c r="F17" s="1"/>
      <c r="G17" s="1"/>
      <c r="H17" s="1"/>
      <c r="I17" s="1"/>
      <c r="J17" s="1"/>
      <c r="K17" s="1"/>
      <c r="L17" s="4"/>
      <c r="M17" s="4"/>
      <c r="N17" s="1"/>
      <c r="O17" s="1"/>
    </row>
    <row r="18" spans="1:15" x14ac:dyDescent="0.25">
      <c r="A18" s="1">
        <v>1000089</v>
      </c>
      <c r="B18" s="1" t="s">
        <v>706</v>
      </c>
      <c r="C18" s="1" t="s">
        <v>39</v>
      </c>
      <c r="D18" s="2">
        <v>50050</v>
      </c>
      <c r="E18" s="1" t="s">
        <v>705</v>
      </c>
      <c r="F18" s="1">
        <v>5000267174</v>
      </c>
      <c r="G18" s="1">
        <v>105</v>
      </c>
      <c r="H18" s="3">
        <v>134.5</v>
      </c>
      <c r="I18" s="3">
        <v>139.41999999999999</v>
      </c>
      <c r="J18" s="3">
        <f t="shared" ref="J18:J19" si="6">I18-H18</f>
        <v>4.9199999999999875</v>
      </c>
      <c r="K18" s="3">
        <f t="shared" ref="K18:K19" si="7">J18*D18/325</f>
        <v>757.67999999999802</v>
      </c>
      <c r="L18" s="3">
        <v>266</v>
      </c>
      <c r="M18" s="1">
        <f t="shared" ref="M18:M19" si="8">H18*2</f>
        <v>269</v>
      </c>
      <c r="N18" s="3">
        <f t="shared" ref="N18:N19" si="9">M18-L18</f>
        <v>3</v>
      </c>
      <c r="O18" s="1">
        <f t="shared" ref="O18:O19" si="10">N18/650*D18</f>
        <v>231.00000000000003</v>
      </c>
    </row>
    <row r="19" spans="1:15" x14ac:dyDescent="0.25">
      <c r="A19" s="1">
        <v>1000089</v>
      </c>
      <c r="B19" s="1" t="s">
        <v>706</v>
      </c>
      <c r="C19" s="1" t="s">
        <v>39</v>
      </c>
      <c r="D19" s="2">
        <v>58500</v>
      </c>
      <c r="E19" s="1" t="s">
        <v>705</v>
      </c>
      <c r="F19" s="1">
        <v>5000267174</v>
      </c>
      <c r="G19" s="1">
        <v>105</v>
      </c>
      <c r="H19" s="3">
        <v>134.5</v>
      </c>
      <c r="I19" s="3">
        <v>139.41999999999999</v>
      </c>
      <c r="J19" s="3">
        <f t="shared" si="6"/>
        <v>4.9199999999999875</v>
      </c>
      <c r="K19" s="3">
        <f t="shared" si="7"/>
        <v>885.59999999999764</v>
      </c>
      <c r="L19" s="3">
        <v>266</v>
      </c>
      <c r="M19" s="1">
        <f t="shared" si="8"/>
        <v>269</v>
      </c>
      <c r="N19" s="3">
        <f t="shared" si="9"/>
        <v>3</v>
      </c>
      <c r="O19" s="1">
        <f t="shared" si="10"/>
        <v>270</v>
      </c>
    </row>
    <row r="20" spans="1:15" x14ac:dyDescent="0.25">
      <c r="A20" s="1">
        <v>1000089</v>
      </c>
      <c r="B20" s="1"/>
      <c r="C20" s="1" t="s">
        <v>39</v>
      </c>
      <c r="D20" s="2">
        <v>108550</v>
      </c>
      <c r="E20" s="1"/>
      <c r="F20" s="1"/>
      <c r="G20" s="1"/>
      <c r="H20" s="1"/>
      <c r="I20" s="1"/>
      <c r="J20" s="1"/>
      <c r="K20" s="1"/>
      <c r="L20" s="4"/>
      <c r="M20" s="4"/>
      <c r="N20" s="1"/>
      <c r="O20" s="1"/>
    </row>
    <row r="21" spans="1:15" x14ac:dyDescent="0.25">
      <c r="A21" s="1">
        <v>1000090</v>
      </c>
      <c r="B21" s="1" t="s">
        <v>112</v>
      </c>
      <c r="C21" s="1" t="s">
        <v>39</v>
      </c>
      <c r="D21" s="2">
        <v>78000</v>
      </c>
      <c r="E21" s="1" t="s">
        <v>707</v>
      </c>
      <c r="F21" s="1">
        <v>5000263133</v>
      </c>
      <c r="G21" s="1">
        <v>105</v>
      </c>
      <c r="H21" s="3">
        <v>134.5</v>
      </c>
      <c r="I21" s="3">
        <v>139.41999999999999</v>
      </c>
      <c r="J21" s="3">
        <f t="shared" ref="J21:J24" si="11">I21-H21</f>
        <v>4.9199999999999875</v>
      </c>
      <c r="K21" s="3">
        <f t="shared" ref="K21:K24" si="12">J21*D21/325</f>
        <v>1180.799999999997</v>
      </c>
      <c r="L21" s="3">
        <v>266</v>
      </c>
      <c r="M21" s="1">
        <f t="shared" ref="M21:M24" si="13">H21*2</f>
        <v>269</v>
      </c>
      <c r="N21" s="3">
        <f t="shared" ref="N21:N24" si="14">M21-L21</f>
        <v>3</v>
      </c>
      <c r="O21" s="1">
        <f t="shared" ref="O21:O24" si="15">N21/650*D21</f>
        <v>360.00000000000006</v>
      </c>
    </row>
    <row r="22" spans="1:15" x14ac:dyDescent="0.25">
      <c r="A22" s="1">
        <v>1000090</v>
      </c>
      <c r="B22" s="1" t="s">
        <v>112</v>
      </c>
      <c r="C22" s="1" t="s">
        <v>39</v>
      </c>
      <c r="D22" s="2">
        <v>52377</v>
      </c>
      <c r="E22" s="1" t="s">
        <v>709</v>
      </c>
      <c r="F22" s="1">
        <v>5000263691</v>
      </c>
      <c r="G22" s="1">
        <v>105</v>
      </c>
      <c r="H22" s="3">
        <v>134.5</v>
      </c>
      <c r="I22" s="3">
        <v>139.41999999999999</v>
      </c>
      <c r="J22" s="3">
        <f t="shared" si="11"/>
        <v>4.9199999999999875</v>
      </c>
      <c r="K22" s="3">
        <f t="shared" si="12"/>
        <v>792.90719999999806</v>
      </c>
      <c r="L22" s="3">
        <v>266</v>
      </c>
      <c r="M22" s="1">
        <f t="shared" si="13"/>
        <v>269</v>
      </c>
      <c r="N22" s="3">
        <f t="shared" si="14"/>
        <v>3</v>
      </c>
      <c r="O22" s="1">
        <f t="shared" si="15"/>
        <v>241.74</v>
      </c>
    </row>
    <row r="23" spans="1:15" x14ac:dyDescent="0.25">
      <c r="A23" s="1">
        <v>1000090</v>
      </c>
      <c r="B23" s="1" t="s">
        <v>112</v>
      </c>
      <c r="C23" s="1" t="s">
        <v>39</v>
      </c>
      <c r="D23" s="2">
        <v>4823</v>
      </c>
      <c r="E23" s="1" t="s">
        <v>709</v>
      </c>
      <c r="F23" s="1">
        <v>5000263691</v>
      </c>
      <c r="G23" s="1">
        <v>105</v>
      </c>
      <c r="H23" s="3">
        <v>134.5</v>
      </c>
      <c r="I23" s="3">
        <v>139.41999999999999</v>
      </c>
      <c r="J23" s="3">
        <f t="shared" si="11"/>
        <v>4.9199999999999875</v>
      </c>
      <c r="K23" s="3">
        <f t="shared" si="12"/>
        <v>73.012799999999814</v>
      </c>
      <c r="L23" s="3">
        <v>266</v>
      </c>
      <c r="M23" s="1">
        <f t="shared" si="13"/>
        <v>269</v>
      </c>
      <c r="N23" s="3">
        <f t="shared" si="14"/>
        <v>3</v>
      </c>
      <c r="O23" s="1">
        <f t="shared" si="15"/>
        <v>22.26</v>
      </c>
    </row>
    <row r="24" spans="1:15" x14ac:dyDescent="0.25">
      <c r="A24" s="1">
        <v>1000090</v>
      </c>
      <c r="B24" s="1" t="s">
        <v>112</v>
      </c>
      <c r="C24" s="1" t="s">
        <v>39</v>
      </c>
      <c r="D24" s="2">
        <v>32500</v>
      </c>
      <c r="E24" s="1" t="s">
        <v>709</v>
      </c>
      <c r="F24" s="1">
        <v>5000263691</v>
      </c>
      <c r="G24" s="1">
        <v>105</v>
      </c>
      <c r="H24" s="3">
        <v>134.5</v>
      </c>
      <c r="I24" s="3">
        <v>139.41999999999999</v>
      </c>
      <c r="J24" s="3">
        <f t="shared" si="11"/>
        <v>4.9199999999999875</v>
      </c>
      <c r="K24" s="3">
        <f t="shared" si="12"/>
        <v>491.99999999999875</v>
      </c>
      <c r="L24" s="3">
        <v>266</v>
      </c>
      <c r="M24" s="1">
        <f t="shared" si="13"/>
        <v>269</v>
      </c>
      <c r="N24" s="3">
        <f t="shared" si="14"/>
        <v>3</v>
      </c>
      <c r="O24" s="1">
        <f t="shared" si="15"/>
        <v>150</v>
      </c>
    </row>
    <row r="25" spans="1:15" x14ac:dyDescent="0.25">
      <c r="A25" s="1">
        <v>1000090</v>
      </c>
      <c r="B25" s="1"/>
      <c r="C25" s="1" t="s">
        <v>39</v>
      </c>
      <c r="D25" s="2">
        <v>167700</v>
      </c>
      <c r="E25" s="1"/>
      <c r="F25" s="1"/>
      <c r="G25" s="1"/>
      <c r="H25" s="1"/>
      <c r="I25" s="1"/>
      <c r="J25" s="1"/>
      <c r="K25" s="1"/>
      <c r="L25" s="4"/>
      <c r="M25" s="4"/>
      <c r="N25" s="1"/>
      <c r="O25" s="1"/>
    </row>
    <row r="26" spans="1:15" x14ac:dyDescent="0.25">
      <c r="A26" s="1">
        <v>1000107</v>
      </c>
      <c r="B26" s="1" t="s">
        <v>82</v>
      </c>
      <c r="C26" s="1" t="s">
        <v>39</v>
      </c>
      <c r="D26" s="2">
        <v>13000</v>
      </c>
      <c r="E26" s="1" t="s">
        <v>705</v>
      </c>
      <c r="F26" s="1">
        <v>5000267174</v>
      </c>
      <c r="G26" s="1">
        <v>105</v>
      </c>
      <c r="H26" s="3">
        <v>41.3</v>
      </c>
      <c r="I26" s="3">
        <v>43.38</v>
      </c>
      <c r="J26" s="3">
        <f t="shared" ref="J26" si="16">I26-H26</f>
        <v>2.0800000000000054</v>
      </c>
      <c r="K26" s="3">
        <f t="shared" ref="K26" si="17">J26*D26/130</f>
        <v>208.00000000000054</v>
      </c>
      <c r="L26" s="4"/>
      <c r="M26" s="4"/>
      <c r="N26" s="1"/>
      <c r="O26" s="1"/>
    </row>
    <row r="27" spans="1:15" x14ac:dyDescent="0.25">
      <c r="A27" s="1">
        <v>1000107</v>
      </c>
      <c r="B27" s="1"/>
      <c r="C27" s="1" t="s">
        <v>39</v>
      </c>
      <c r="D27" s="2">
        <v>13000</v>
      </c>
      <c r="E27" s="1"/>
      <c r="F27" s="1"/>
      <c r="G27" s="1"/>
      <c r="H27" s="1"/>
      <c r="I27" s="1"/>
      <c r="J27" s="1"/>
      <c r="K27" s="1"/>
      <c r="L27" s="4"/>
      <c r="M27" s="4"/>
      <c r="N27" s="1"/>
      <c r="O27" s="1"/>
    </row>
    <row r="28" spans="1:15" x14ac:dyDescent="0.25">
      <c r="A28" s="1">
        <v>1001544</v>
      </c>
      <c r="B28" s="1" t="s">
        <v>589</v>
      </c>
      <c r="C28" s="1" t="s">
        <v>39</v>
      </c>
      <c r="D28" s="2">
        <v>30550</v>
      </c>
      <c r="E28" s="1" t="s">
        <v>705</v>
      </c>
      <c r="F28" s="1">
        <v>5000267174</v>
      </c>
      <c r="G28" s="1">
        <v>105</v>
      </c>
      <c r="H28" s="3">
        <v>161.4</v>
      </c>
      <c r="I28" s="3">
        <v>167.54</v>
      </c>
      <c r="J28" s="3">
        <f t="shared" ref="J28" si="18">I28-H28</f>
        <v>6.1399999999999864</v>
      </c>
      <c r="K28" s="3">
        <f t="shared" ref="K28" si="19">J28*D28/325</f>
        <v>577.15999999999872</v>
      </c>
      <c r="L28" s="3">
        <v>319</v>
      </c>
      <c r="M28" s="1">
        <f t="shared" ref="M28" si="20">H28*2</f>
        <v>322.8</v>
      </c>
      <c r="N28" s="3">
        <f t="shared" ref="N28" si="21">M28-L28</f>
        <v>3.8000000000000114</v>
      </c>
      <c r="O28" s="1">
        <f t="shared" ref="O28" si="22">N28/650*D28</f>
        <v>178.60000000000053</v>
      </c>
    </row>
    <row r="29" spans="1:15" x14ac:dyDescent="0.25">
      <c r="A29" s="1">
        <v>1001544</v>
      </c>
      <c r="B29" s="1"/>
      <c r="C29" s="1" t="s">
        <v>39</v>
      </c>
      <c r="D29" s="2">
        <v>30550</v>
      </c>
      <c r="E29" s="1"/>
      <c r="F29" s="1"/>
      <c r="G29" s="1"/>
      <c r="H29" s="1"/>
      <c r="I29" s="1"/>
      <c r="J29" s="1"/>
      <c r="K29" s="1"/>
      <c r="L29" s="4"/>
      <c r="M29" s="4"/>
      <c r="N29" s="1"/>
      <c r="O29" s="1"/>
    </row>
    <row r="30" spans="1:15" x14ac:dyDescent="0.25">
      <c r="A30" s="1">
        <v>1002449</v>
      </c>
      <c r="B30" s="1" t="s">
        <v>125</v>
      </c>
      <c r="C30" s="1" t="s">
        <v>39</v>
      </c>
      <c r="D30" s="2">
        <v>12480</v>
      </c>
      <c r="E30" s="1" t="s">
        <v>705</v>
      </c>
      <c r="F30" s="1">
        <v>5000267174</v>
      </c>
      <c r="G30" s="1">
        <v>105</v>
      </c>
      <c r="H30" s="3">
        <v>41.3</v>
      </c>
      <c r="I30" s="3">
        <v>43.38</v>
      </c>
      <c r="J30" s="3">
        <f t="shared" ref="J30" si="23">I30-H30</f>
        <v>2.0800000000000054</v>
      </c>
      <c r="K30" s="3">
        <f t="shared" ref="K30" si="24">J30*D30/130</f>
        <v>199.68000000000052</v>
      </c>
      <c r="L30" s="4"/>
      <c r="M30" s="4"/>
      <c r="N30" s="1"/>
      <c r="O30" s="1"/>
    </row>
    <row r="31" spans="1:15" x14ac:dyDescent="0.25">
      <c r="A31" s="1">
        <v>1002449</v>
      </c>
      <c r="B31" s="1"/>
      <c r="C31" s="1" t="s">
        <v>39</v>
      </c>
      <c r="D31" s="2">
        <v>12480</v>
      </c>
      <c r="E31" s="1"/>
      <c r="F31" s="1"/>
      <c r="G31" s="1"/>
      <c r="H31" s="1"/>
      <c r="I31" s="1"/>
      <c r="J31" s="1"/>
      <c r="K31" s="1"/>
      <c r="L31" s="4"/>
      <c r="M31" s="4"/>
      <c r="N31" s="1"/>
      <c r="O31" s="1"/>
    </row>
    <row r="32" spans="1:15" x14ac:dyDescent="0.25">
      <c r="A32" s="1">
        <v>1002947</v>
      </c>
      <c r="B32" s="1" t="s">
        <v>474</v>
      </c>
      <c r="C32" s="1" t="s">
        <v>39</v>
      </c>
      <c r="D32" s="2">
        <v>312000</v>
      </c>
      <c r="E32" s="1" t="s">
        <v>707</v>
      </c>
      <c r="F32" s="1">
        <v>5000263133</v>
      </c>
      <c r="G32" s="1">
        <v>105</v>
      </c>
      <c r="H32" s="3">
        <v>134.5</v>
      </c>
      <c r="I32" s="3">
        <v>139.41999999999999</v>
      </c>
      <c r="J32" s="3">
        <f t="shared" ref="J32:J40" si="25">I32-H32</f>
        <v>4.9199999999999875</v>
      </c>
      <c r="K32" s="3">
        <f t="shared" ref="K32:K40" si="26">J32*D32/325</f>
        <v>4723.199999999988</v>
      </c>
      <c r="L32" s="3">
        <v>266</v>
      </c>
      <c r="M32" s="1">
        <f t="shared" ref="M32:M40" si="27">H32*2</f>
        <v>269</v>
      </c>
      <c r="N32" s="3">
        <f t="shared" ref="N32:N40" si="28">M32-L32</f>
        <v>3</v>
      </c>
      <c r="O32" s="1">
        <f t="shared" ref="O32:O40" si="29">N32/650*D32</f>
        <v>1440.0000000000002</v>
      </c>
    </row>
    <row r="33" spans="1:15" x14ac:dyDescent="0.25">
      <c r="A33" s="1">
        <v>1002947</v>
      </c>
      <c r="B33" s="1" t="s">
        <v>474</v>
      </c>
      <c r="C33" s="1" t="s">
        <v>39</v>
      </c>
      <c r="D33" s="2">
        <v>244400</v>
      </c>
      <c r="E33" s="1" t="s">
        <v>702</v>
      </c>
      <c r="F33" s="1">
        <v>5000264975</v>
      </c>
      <c r="G33" s="1">
        <v>105</v>
      </c>
      <c r="H33" s="3">
        <v>134.5</v>
      </c>
      <c r="I33" s="3">
        <v>139.41999999999999</v>
      </c>
      <c r="J33" s="3">
        <f t="shared" si="25"/>
        <v>4.9199999999999875</v>
      </c>
      <c r="K33" s="3">
        <f t="shared" si="26"/>
        <v>3699.8399999999906</v>
      </c>
      <c r="L33" s="3">
        <v>266</v>
      </c>
      <c r="M33" s="1">
        <f t="shared" si="27"/>
        <v>269</v>
      </c>
      <c r="N33" s="3">
        <f t="shared" si="28"/>
        <v>3</v>
      </c>
      <c r="O33" s="1">
        <f t="shared" si="29"/>
        <v>1128</v>
      </c>
    </row>
    <row r="34" spans="1:15" x14ac:dyDescent="0.25">
      <c r="A34" s="1">
        <v>1002947</v>
      </c>
      <c r="B34" s="1" t="s">
        <v>474</v>
      </c>
      <c r="C34" s="1" t="s">
        <v>39</v>
      </c>
      <c r="D34" s="2">
        <v>114400</v>
      </c>
      <c r="E34" s="1" t="s">
        <v>702</v>
      </c>
      <c r="F34" s="1">
        <v>5000264975</v>
      </c>
      <c r="G34" s="1">
        <v>105</v>
      </c>
      <c r="H34" s="3">
        <v>134.5</v>
      </c>
      <c r="I34" s="3">
        <v>139.41999999999999</v>
      </c>
      <c r="J34" s="3">
        <f t="shared" si="25"/>
        <v>4.9199999999999875</v>
      </c>
      <c r="K34" s="3">
        <f t="shared" si="26"/>
        <v>1731.8399999999956</v>
      </c>
      <c r="L34" s="3">
        <v>266</v>
      </c>
      <c r="M34" s="1">
        <f t="shared" si="27"/>
        <v>269</v>
      </c>
      <c r="N34" s="3">
        <f t="shared" si="28"/>
        <v>3</v>
      </c>
      <c r="O34" s="1">
        <f t="shared" si="29"/>
        <v>528</v>
      </c>
    </row>
    <row r="35" spans="1:15" x14ac:dyDescent="0.25">
      <c r="A35" s="1">
        <v>1002947</v>
      </c>
      <c r="B35" s="1" t="s">
        <v>474</v>
      </c>
      <c r="C35" s="1" t="s">
        <v>39</v>
      </c>
      <c r="D35" s="2">
        <v>244400</v>
      </c>
      <c r="E35" s="1" t="s">
        <v>702</v>
      </c>
      <c r="F35" s="1">
        <v>5000265458</v>
      </c>
      <c r="G35" s="1">
        <v>105</v>
      </c>
      <c r="H35" s="3">
        <v>134.5</v>
      </c>
      <c r="I35" s="3">
        <v>139.41999999999999</v>
      </c>
      <c r="J35" s="3">
        <f t="shared" si="25"/>
        <v>4.9199999999999875</v>
      </c>
      <c r="K35" s="3">
        <f t="shared" si="26"/>
        <v>3699.8399999999906</v>
      </c>
      <c r="L35" s="3">
        <v>266</v>
      </c>
      <c r="M35" s="1">
        <f t="shared" si="27"/>
        <v>269</v>
      </c>
      <c r="N35" s="3">
        <f t="shared" si="28"/>
        <v>3</v>
      </c>
      <c r="O35" s="1">
        <f t="shared" si="29"/>
        <v>1128</v>
      </c>
    </row>
    <row r="36" spans="1:15" x14ac:dyDescent="0.25">
      <c r="A36" s="1">
        <v>1002947</v>
      </c>
      <c r="B36" s="1" t="s">
        <v>474</v>
      </c>
      <c r="C36" s="1" t="s">
        <v>39</v>
      </c>
      <c r="D36" s="2">
        <v>81900</v>
      </c>
      <c r="E36" s="1" t="s">
        <v>703</v>
      </c>
      <c r="F36" s="1">
        <v>5000265470</v>
      </c>
      <c r="G36" s="1">
        <v>105</v>
      </c>
      <c r="H36" s="3">
        <v>134.5</v>
      </c>
      <c r="I36" s="3">
        <v>139.41999999999999</v>
      </c>
      <c r="J36" s="3">
        <f t="shared" si="25"/>
        <v>4.9199999999999875</v>
      </c>
      <c r="K36" s="3">
        <f t="shared" si="26"/>
        <v>1239.8399999999967</v>
      </c>
      <c r="L36" s="3">
        <v>266</v>
      </c>
      <c r="M36" s="1">
        <f t="shared" si="27"/>
        <v>269</v>
      </c>
      <c r="N36" s="3">
        <f t="shared" si="28"/>
        <v>3</v>
      </c>
      <c r="O36" s="1">
        <f t="shared" si="29"/>
        <v>378.00000000000006</v>
      </c>
    </row>
    <row r="37" spans="1:15" x14ac:dyDescent="0.25">
      <c r="A37" s="1">
        <v>1002947</v>
      </c>
      <c r="B37" s="1" t="s">
        <v>474</v>
      </c>
      <c r="C37" s="1" t="s">
        <v>39</v>
      </c>
      <c r="D37" s="2">
        <v>32500</v>
      </c>
      <c r="E37" s="1" t="s">
        <v>703</v>
      </c>
      <c r="F37" s="1">
        <v>5000265470</v>
      </c>
      <c r="G37" s="1">
        <v>105</v>
      </c>
      <c r="H37" s="3">
        <v>134.5</v>
      </c>
      <c r="I37" s="3">
        <v>139.41999999999999</v>
      </c>
      <c r="J37" s="3">
        <f t="shared" si="25"/>
        <v>4.9199999999999875</v>
      </c>
      <c r="K37" s="3">
        <f t="shared" si="26"/>
        <v>491.99999999999875</v>
      </c>
      <c r="L37" s="3">
        <v>266</v>
      </c>
      <c r="M37" s="1">
        <f t="shared" si="27"/>
        <v>269</v>
      </c>
      <c r="N37" s="3">
        <f t="shared" si="28"/>
        <v>3</v>
      </c>
      <c r="O37" s="1">
        <f t="shared" si="29"/>
        <v>150</v>
      </c>
    </row>
    <row r="38" spans="1:15" x14ac:dyDescent="0.25">
      <c r="A38" s="1">
        <v>1002947</v>
      </c>
      <c r="B38" s="1" t="s">
        <v>474</v>
      </c>
      <c r="C38" s="1" t="s">
        <v>39</v>
      </c>
      <c r="D38" s="2">
        <v>19925</v>
      </c>
      <c r="E38" s="1" t="s">
        <v>705</v>
      </c>
      <c r="F38" s="1">
        <v>5000267174</v>
      </c>
      <c r="G38" s="1">
        <v>105</v>
      </c>
      <c r="H38" s="3">
        <v>134.5</v>
      </c>
      <c r="I38" s="3">
        <v>139.41999999999999</v>
      </c>
      <c r="J38" s="3">
        <f t="shared" si="25"/>
        <v>4.9199999999999875</v>
      </c>
      <c r="K38" s="3">
        <f t="shared" si="26"/>
        <v>301.63384615384541</v>
      </c>
      <c r="L38" s="3">
        <v>266</v>
      </c>
      <c r="M38" s="1">
        <f t="shared" si="27"/>
        <v>269</v>
      </c>
      <c r="N38" s="3">
        <f t="shared" si="28"/>
        <v>3</v>
      </c>
      <c r="O38" s="1">
        <f t="shared" si="29"/>
        <v>91.961538461538467</v>
      </c>
    </row>
    <row r="39" spans="1:15" x14ac:dyDescent="0.25">
      <c r="A39" s="1">
        <v>1002947</v>
      </c>
      <c r="B39" s="1" t="s">
        <v>474</v>
      </c>
      <c r="C39" s="1" t="s">
        <v>39</v>
      </c>
      <c r="D39" s="2">
        <v>143975</v>
      </c>
      <c r="E39" s="1" t="s">
        <v>705</v>
      </c>
      <c r="F39" s="1">
        <v>5000267174</v>
      </c>
      <c r="G39" s="1">
        <v>105</v>
      </c>
      <c r="H39" s="3">
        <v>134.5</v>
      </c>
      <c r="I39" s="3">
        <v>139.41999999999999</v>
      </c>
      <c r="J39" s="3">
        <f t="shared" si="25"/>
        <v>4.9199999999999875</v>
      </c>
      <c r="K39" s="3">
        <f t="shared" si="26"/>
        <v>2179.5599999999945</v>
      </c>
      <c r="L39" s="3">
        <v>266</v>
      </c>
      <c r="M39" s="1">
        <f t="shared" si="27"/>
        <v>269</v>
      </c>
      <c r="N39" s="3">
        <f t="shared" si="28"/>
        <v>3</v>
      </c>
      <c r="O39" s="1">
        <f t="shared" si="29"/>
        <v>664.50000000000011</v>
      </c>
    </row>
    <row r="40" spans="1:15" x14ac:dyDescent="0.25">
      <c r="A40" s="1">
        <v>1002947</v>
      </c>
      <c r="B40" s="1" t="s">
        <v>474</v>
      </c>
      <c r="C40" s="1" t="s">
        <v>39</v>
      </c>
      <c r="D40" s="2">
        <v>85700</v>
      </c>
      <c r="E40" s="1" t="s">
        <v>705</v>
      </c>
      <c r="F40" s="1">
        <v>5000267174</v>
      </c>
      <c r="G40" s="1">
        <v>105</v>
      </c>
      <c r="H40" s="3">
        <v>134.5</v>
      </c>
      <c r="I40" s="3">
        <v>139.41999999999999</v>
      </c>
      <c r="J40" s="3">
        <f t="shared" si="25"/>
        <v>4.9199999999999875</v>
      </c>
      <c r="K40" s="3">
        <f t="shared" si="26"/>
        <v>1297.3661538461506</v>
      </c>
      <c r="L40" s="3">
        <v>266</v>
      </c>
      <c r="M40" s="1">
        <f t="shared" si="27"/>
        <v>269</v>
      </c>
      <c r="N40" s="3">
        <f t="shared" si="28"/>
        <v>3</v>
      </c>
      <c r="O40" s="1">
        <f t="shared" si="29"/>
        <v>395.53846153846155</v>
      </c>
    </row>
    <row r="41" spans="1:15" x14ac:dyDescent="0.25">
      <c r="A41" s="1">
        <v>1002947</v>
      </c>
      <c r="B41" s="1"/>
      <c r="C41" s="1" t="s">
        <v>39</v>
      </c>
      <c r="D41" s="2">
        <v>1279200</v>
      </c>
      <c r="E41" s="1"/>
      <c r="F41" s="1"/>
      <c r="G41" s="1"/>
      <c r="H41" s="1"/>
      <c r="I41" s="1"/>
      <c r="J41" s="1"/>
      <c r="K41" s="1"/>
      <c r="L41" s="4"/>
      <c r="M41" s="4"/>
      <c r="N41" s="1"/>
      <c r="O41" s="1"/>
    </row>
    <row r="42" spans="1:15" x14ac:dyDescent="0.25">
      <c r="A42" s="1">
        <v>1003042</v>
      </c>
      <c r="B42" s="1" t="s">
        <v>710</v>
      </c>
      <c r="C42" s="1" t="s">
        <v>39</v>
      </c>
      <c r="D42" s="2">
        <v>30000</v>
      </c>
      <c r="E42" s="1" t="s">
        <v>709</v>
      </c>
      <c r="F42" s="1">
        <v>5000263691</v>
      </c>
      <c r="G42" s="1">
        <v>105</v>
      </c>
      <c r="H42" s="3">
        <v>134.5</v>
      </c>
      <c r="I42" s="3">
        <v>139.41999999999999</v>
      </c>
      <c r="J42" s="3">
        <f t="shared" ref="J42:J43" si="30">I42-H42</f>
        <v>4.9199999999999875</v>
      </c>
      <c r="K42" s="3">
        <f t="shared" ref="K42:K43" si="31">J42*D42/325</f>
        <v>454.153846153845</v>
      </c>
      <c r="L42" s="3">
        <v>266</v>
      </c>
      <c r="M42" s="1">
        <f t="shared" ref="M42:M43" si="32">H42*2</f>
        <v>269</v>
      </c>
      <c r="N42" s="3">
        <f t="shared" ref="N42:N43" si="33">M42-L42</f>
        <v>3</v>
      </c>
      <c r="O42" s="1">
        <f t="shared" ref="O42:O43" si="34">N42/650*D42</f>
        <v>138.46153846153848</v>
      </c>
    </row>
    <row r="43" spans="1:15" x14ac:dyDescent="0.25">
      <c r="A43" s="1">
        <v>1003042</v>
      </c>
      <c r="B43" s="1" t="s">
        <v>710</v>
      </c>
      <c r="C43" s="1" t="s">
        <v>39</v>
      </c>
      <c r="D43" s="2">
        <v>32400</v>
      </c>
      <c r="E43" s="1" t="s">
        <v>709</v>
      </c>
      <c r="F43" s="1">
        <v>5000263691</v>
      </c>
      <c r="G43" s="1">
        <v>105</v>
      </c>
      <c r="H43" s="3">
        <v>134.5</v>
      </c>
      <c r="I43" s="3">
        <v>139.41999999999999</v>
      </c>
      <c r="J43" s="3">
        <f t="shared" si="30"/>
        <v>4.9199999999999875</v>
      </c>
      <c r="K43" s="3">
        <f t="shared" si="31"/>
        <v>490.4861538461526</v>
      </c>
      <c r="L43" s="3">
        <v>266</v>
      </c>
      <c r="M43" s="1">
        <f t="shared" si="32"/>
        <v>269</v>
      </c>
      <c r="N43" s="3">
        <f t="shared" si="33"/>
        <v>3</v>
      </c>
      <c r="O43" s="1">
        <f t="shared" si="34"/>
        <v>149.53846153846155</v>
      </c>
    </row>
    <row r="44" spans="1:15" x14ac:dyDescent="0.25">
      <c r="A44" s="1">
        <v>1003042</v>
      </c>
      <c r="B44" s="1"/>
      <c r="C44" s="1" t="s">
        <v>39</v>
      </c>
      <c r="D44" s="2">
        <v>62400</v>
      </c>
      <c r="E44" s="1"/>
      <c r="F44" s="1"/>
      <c r="G44" s="1"/>
      <c r="H44" s="1"/>
      <c r="I44" s="1"/>
      <c r="J44" s="1"/>
      <c r="K44" s="1"/>
      <c r="L44" s="4"/>
      <c r="M44" s="4"/>
      <c r="N44" s="1"/>
      <c r="O44" s="1"/>
    </row>
    <row r="45" spans="1:15" x14ac:dyDescent="0.25">
      <c r="A45" s="1">
        <v>1003043</v>
      </c>
      <c r="B45" s="1" t="s">
        <v>543</v>
      </c>
      <c r="C45" s="1" t="s">
        <v>39</v>
      </c>
      <c r="D45" s="2">
        <v>39000</v>
      </c>
      <c r="E45" s="1" t="s">
        <v>705</v>
      </c>
      <c r="F45" s="1">
        <v>5000267174</v>
      </c>
      <c r="G45" s="1">
        <v>105</v>
      </c>
      <c r="H45" s="3">
        <v>161.4</v>
      </c>
      <c r="I45" s="3">
        <v>167.54</v>
      </c>
      <c r="J45" s="3">
        <f t="shared" ref="J45:J46" si="35">I45-H45</f>
        <v>6.1399999999999864</v>
      </c>
      <c r="K45" s="3">
        <f t="shared" ref="K45:K46" si="36">J45*D45/325</f>
        <v>736.79999999999836</v>
      </c>
      <c r="L45" s="3">
        <v>319</v>
      </c>
      <c r="M45" s="1">
        <f t="shared" ref="M45:M46" si="37">H45*2</f>
        <v>322.8</v>
      </c>
      <c r="N45" s="3">
        <f t="shared" ref="N45:N46" si="38">M45-L45</f>
        <v>3.8000000000000114</v>
      </c>
      <c r="O45" s="1">
        <f t="shared" ref="O45:O46" si="39">N45/650*D45</f>
        <v>228.00000000000068</v>
      </c>
    </row>
    <row r="46" spans="1:15" x14ac:dyDescent="0.25">
      <c r="A46" s="1">
        <v>1003043</v>
      </c>
      <c r="B46" s="1" t="s">
        <v>543</v>
      </c>
      <c r="C46" s="1" t="s">
        <v>39</v>
      </c>
      <c r="D46" s="2">
        <v>32500</v>
      </c>
      <c r="E46" s="1" t="s">
        <v>705</v>
      </c>
      <c r="F46" s="1">
        <v>5000267174</v>
      </c>
      <c r="G46" s="1">
        <v>105</v>
      </c>
      <c r="H46" s="3">
        <v>161.4</v>
      </c>
      <c r="I46" s="3">
        <v>167.54</v>
      </c>
      <c r="J46" s="3">
        <f t="shared" si="35"/>
        <v>6.1399999999999864</v>
      </c>
      <c r="K46" s="3">
        <f t="shared" si="36"/>
        <v>613.99999999999864</v>
      </c>
      <c r="L46" s="3">
        <v>319</v>
      </c>
      <c r="M46" s="1">
        <f t="shared" si="37"/>
        <v>322.8</v>
      </c>
      <c r="N46" s="3">
        <f t="shared" si="38"/>
        <v>3.8000000000000114</v>
      </c>
      <c r="O46" s="1">
        <f t="shared" si="39"/>
        <v>190.00000000000057</v>
      </c>
    </row>
    <row r="47" spans="1:15" x14ac:dyDescent="0.25">
      <c r="A47" s="1"/>
      <c r="B47" s="1"/>
      <c r="C47" s="1"/>
      <c r="E47" s="1"/>
      <c r="F47" s="1"/>
      <c r="G47" s="1"/>
      <c r="H47" s="1"/>
      <c r="I47" s="1"/>
      <c r="J47" s="1"/>
      <c r="K47" s="1"/>
      <c r="L47" s="4"/>
      <c r="M47" s="4"/>
      <c r="N47" s="1"/>
      <c r="O47" s="1"/>
    </row>
    <row r="48" spans="1:15" x14ac:dyDescent="0.25">
      <c r="A48" s="1"/>
      <c r="B48" s="1"/>
      <c r="C48" s="1"/>
      <c r="D48" s="2">
        <f>D8+D11+D17+D20+D25+D27+D29+D31+D41+D44+D45+D46</f>
        <v>1875380</v>
      </c>
      <c r="E48" s="1"/>
      <c r="F48" s="2">
        <f>D20+D25+D29+D41+D44+D45+D46</f>
        <v>1719900</v>
      </c>
      <c r="G48" s="1"/>
      <c r="H48" s="1"/>
      <c r="I48" s="1"/>
      <c r="J48" s="1"/>
      <c r="K48" s="3">
        <f>SUM(K6:K46)</f>
        <v>28731.39999999994</v>
      </c>
      <c r="L48" s="4"/>
      <c r="M48" s="4"/>
      <c r="N48" s="1"/>
      <c r="O48" s="3">
        <f>SUM(O6:O46)</f>
        <v>8063.6000000000022</v>
      </c>
    </row>
    <row r="50" spans="1:14" x14ac:dyDescent="0.25">
      <c r="A50" t="s">
        <v>663</v>
      </c>
    </row>
    <row r="51" spans="1:14" x14ac:dyDescent="0.25">
      <c r="A51" s="1" t="s">
        <v>438</v>
      </c>
      <c r="B51" s="1" t="s">
        <v>169</v>
      </c>
      <c r="C51" s="1"/>
      <c r="D51" s="1" t="s">
        <v>38</v>
      </c>
      <c r="E51" s="1" t="s">
        <v>594</v>
      </c>
      <c r="F51" s="1" t="s">
        <v>172</v>
      </c>
      <c r="G51" s="1"/>
      <c r="H51" s="1" t="s">
        <v>276</v>
      </c>
      <c r="I51" s="1" t="s">
        <v>170</v>
      </c>
      <c r="J51" s="1" t="s">
        <v>52</v>
      </c>
      <c r="K51" s="1" t="s">
        <v>21</v>
      </c>
      <c r="L51" s="1"/>
      <c r="M51" s="1"/>
      <c r="N51" s="1"/>
    </row>
    <row r="52" spans="1:14" x14ac:dyDescent="0.25">
      <c r="A52" s="1">
        <v>1000538</v>
      </c>
      <c r="B52" s="1" t="s">
        <v>88</v>
      </c>
      <c r="C52" s="1" t="s">
        <v>392</v>
      </c>
      <c r="D52" s="1">
        <v>762</v>
      </c>
      <c r="E52" s="1" t="s">
        <v>708</v>
      </c>
      <c r="F52" s="1">
        <v>5000263407</v>
      </c>
      <c r="G52" s="1">
        <v>105</v>
      </c>
      <c r="H52" s="1">
        <v>72.5</v>
      </c>
      <c r="I52" s="1">
        <v>75.349999999999994</v>
      </c>
      <c r="J52" s="1">
        <f t="shared" ref="J52:J54" si="40">I52-H52</f>
        <v>2.8499999999999943</v>
      </c>
      <c r="K52" s="1">
        <f t="shared" ref="K52:K54" si="41">D52*J52</f>
        <v>2171.6999999999957</v>
      </c>
      <c r="L52" s="1"/>
      <c r="M52" s="1"/>
      <c r="N52" s="1"/>
    </row>
    <row r="53" spans="1:14" x14ac:dyDescent="0.25">
      <c r="A53" s="1">
        <v>1000538</v>
      </c>
      <c r="B53" s="1" t="s">
        <v>88</v>
      </c>
      <c r="C53" s="1" t="s">
        <v>392</v>
      </c>
      <c r="D53" s="2">
        <v>1238</v>
      </c>
      <c r="E53" s="1" t="s">
        <v>711</v>
      </c>
      <c r="F53" s="1">
        <v>5000264135</v>
      </c>
      <c r="G53" s="1">
        <v>105</v>
      </c>
      <c r="H53" s="1">
        <v>72.5</v>
      </c>
      <c r="I53" s="1">
        <v>75.349999999999994</v>
      </c>
      <c r="J53" s="1">
        <f t="shared" si="40"/>
        <v>2.8499999999999943</v>
      </c>
      <c r="K53" s="1">
        <f t="shared" si="41"/>
        <v>3528.2999999999929</v>
      </c>
      <c r="L53" s="1"/>
      <c r="M53" s="1"/>
      <c r="N53" s="1"/>
    </row>
    <row r="54" spans="1:14" x14ac:dyDescent="0.25">
      <c r="A54" s="1">
        <v>1000538</v>
      </c>
      <c r="B54" s="1" t="s">
        <v>88</v>
      </c>
      <c r="C54" s="1" t="s">
        <v>392</v>
      </c>
      <c r="D54" s="1">
        <v>343</v>
      </c>
      <c r="E54" s="1" t="s">
        <v>711</v>
      </c>
      <c r="F54" s="1">
        <v>5000264135</v>
      </c>
      <c r="G54" s="1">
        <v>105</v>
      </c>
      <c r="H54" s="1">
        <v>72.5</v>
      </c>
      <c r="I54" s="1">
        <v>75.349999999999994</v>
      </c>
      <c r="J54" s="1">
        <f t="shared" si="40"/>
        <v>2.8499999999999943</v>
      </c>
      <c r="K54" s="1">
        <f t="shared" si="41"/>
        <v>977.54999999999802</v>
      </c>
      <c r="L54" s="1"/>
      <c r="M54" s="1"/>
      <c r="N54" s="1"/>
    </row>
    <row r="55" spans="1:14" x14ac:dyDescent="0.25">
      <c r="A55" s="1">
        <v>1000538</v>
      </c>
      <c r="B55" s="1"/>
      <c r="C55" s="1" t="s">
        <v>392</v>
      </c>
      <c r="D55" s="2">
        <v>2343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>
        <v>1000719</v>
      </c>
      <c r="B56" s="1" t="s">
        <v>484</v>
      </c>
      <c r="C56" s="1" t="s">
        <v>392</v>
      </c>
      <c r="D56" s="2">
        <v>1965</v>
      </c>
      <c r="E56" s="1" t="s">
        <v>712</v>
      </c>
      <c r="F56" s="1">
        <v>5000262385</v>
      </c>
      <c r="G56" s="1">
        <v>105</v>
      </c>
      <c r="H56" s="1">
        <v>72.5</v>
      </c>
      <c r="I56" s="1">
        <v>75.349999999999994</v>
      </c>
      <c r="J56" s="1">
        <f t="shared" ref="J56:J61" si="42">I56-H56</f>
        <v>2.8499999999999943</v>
      </c>
      <c r="K56" s="1">
        <f t="shared" ref="K56:K61" si="43">D56*J56</f>
        <v>5600.2499999999891</v>
      </c>
      <c r="L56" s="1"/>
      <c r="M56" s="1"/>
      <c r="N56" s="1"/>
    </row>
    <row r="57" spans="1:14" x14ac:dyDescent="0.25">
      <c r="A57" s="1">
        <v>1000719</v>
      </c>
      <c r="B57" s="1" t="s">
        <v>484</v>
      </c>
      <c r="C57" s="1" t="s">
        <v>392</v>
      </c>
      <c r="D57" s="1">
        <v>678</v>
      </c>
      <c r="E57" s="1" t="s">
        <v>708</v>
      </c>
      <c r="F57" s="1">
        <v>5000263407</v>
      </c>
      <c r="G57" s="1">
        <v>105</v>
      </c>
      <c r="H57" s="1">
        <v>72.5</v>
      </c>
      <c r="I57" s="1">
        <v>75.349999999999994</v>
      </c>
      <c r="J57" s="1">
        <f t="shared" si="42"/>
        <v>2.8499999999999943</v>
      </c>
      <c r="K57" s="1">
        <f t="shared" si="43"/>
        <v>1932.2999999999961</v>
      </c>
      <c r="L57" s="1"/>
      <c r="M57" s="1"/>
      <c r="N57" s="1"/>
    </row>
    <row r="58" spans="1:14" x14ac:dyDescent="0.25">
      <c r="A58" s="1">
        <v>1000719</v>
      </c>
      <c r="B58" s="1" t="s">
        <v>484</v>
      </c>
      <c r="C58" s="1" t="s">
        <v>392</v>
      </c>
      <c r="D58" s="2">
        <v>1022</v>
      </c>
      <c r="E58" s="1" t="s">
        <v>711</v>
      </c>
      <c r="F58" s="1">
        <v>5000264135</v>
      </c>
      <c r="G58" s="1">
        <v>105</v>
      </c>
      <c r="H58" s="1">
        <v>72.5</v>
      </c>
      <c r="I58" s="1">
        <v>75.349999999999994</v>
      </c>
      <c r="J58" s="1">
        <f t="shared" si="42"/>
        <v>2.8499999999999943</v>
      </c>
      <c r="K58" s="1">
        <f t="shared" si="43"/>
        <v>2912.6999999999944</v>
      </c>
      <c r="L58" s="1"/>
      <c r="M58" s="1"/>
      <c r="N58" s="1"/>
    </row>
    <row r="59" spans="1:14" x14ac:dyDescent="0.25">
      <c r="A59" s="1">
        <v>1000719</v>
      </c>
      <c r="B59" s="1" t="s">
        <v>484</v>
      </c>
      <c r="C59" s="1" t="s">
        <v>392</v>
      </c>
      <c r="D59" s="2">
        <v>2012</v>
      </c>
      <c r="E59" s="1" t="s">
        <v>713</v>
      </c>
      <c r="F59" s="1">
        <v>5000265705</v>
      </c>
      <c r="G59" s="1">
        <v>105</v>
      </c>
      <c r="H59" s="1">
        <v>72.5</v>
      </c>
      <c r="I59" s="1">
        <v>75.349999999999994</v>
      </c>
      <c r="J59" s="1">
        <f t="shared" si="42"/>
        <v>2.8499999999999943</v>
      </c>
      <c r="K59" s="1">
        <f t="shared" si="43"/>
        <v>5734.1999999999889</v>
      </c>
      <c r="L59" s="1"/>
      <c r="M59" s="1"/>
      <c r="N59" s="1"/>
    </row>
    <row r="60" spans="1:14" x14ac:dyDescent="0.25">
      <c r="A60" s="1">
        <v>1000719</v>
      </c>
      <c r="B60" s="1" t="s">
        <v>484</v>
      </c>
      <c r="C60" s="1" t="s">
        <v>392</v>
      </c>
      <c r="D60" s="2">
        <v>2839</v>
      </c>
      <c r="E60" s="1" t="s">
        <v>714</v>
      </c>
      <c r="F60" s="1">
        <v>5000266919</v>
      </c>
      <c r="G60" s="1">
        <v>105</v>
      </c>
      <c r="H60" s="1">
        <v>72.5</v>
      </c>
      <c r="I60" s="1">
        <v>75.349999999999994</v>
      </c>
      <c r="J60" s="1">
        <f t="shared" si="42"/>
        <v>2.8499999999999943</v>
      </c>
      <c r="K60" s="1">
        <f t="shared" si="43"/>
        <v>8091.1499999999842</v>
      </c>
      <c r="L60" s="1"/>
      <c r="M60" s="1"/>
      <c r="N60" s="1"/>
    </row>
    <row r="61" spans="1:14" x14ac:dyDescent="0.25">
      <c r="A61" s="1">
        <v>1000719</v>
      </c>
      <c r="B61" s="1" t="s">
        <v>484</v>
      </c>
      <c r="C61" s="1" t="s">
        <v>392</v>
      </c>
      <c r="D61" s="2">
        <v>2127</v>
      </c>
      <c r="E61" s="1" t="s">
        <v>715</v>
      </c>
      <c r="F61" s="1">
        <v>5000268958</v>
      </c>
      <c r="G61" s="1">
        <v>105</v>
      </c>
      <c r="H61" s="1">
        <v>72.5</v>
      </c>
      <c r="I61" s="1">
        <v>75.349999999999994</v>
      </c>
      <c r="J61" s="1">
        <f t="shared" si="42"/>
        <v>2.8499999999999943</v>
      </c>
      <c r="K61" s="1">
        <f t="shared" si="43"/>
        <v>6061.949999999988</v>
      </c>
      <c r="L61" s="1"/>
      <c r="M61" s="1"/>
      <c r="N61" s="1"/>
    </row>
    <row r="62" spans="1:14" x14ac:dyDescent="0.25">
      <c r="A62" s="1">
        <v>1000719</v>
      </c>
      <c r="B62" s="1"/>
      <c r="C62" s="1" t="s">
        <v>392</v>
      </c>
      <c r="D62" s="2">
        <v>10643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>
        <v>1001816</v>
      </c>
      <c r="B63" s="1" t="s">
        <v>158</v>
      </c>
      <c r="C63" s="1" t="s">
        <v>392</v>
      </c>
      <c r="D63" s="1">
        <v>860.56</v>
      </c>
      <c r="E63" s="1" t="s">
        <v>716</v>
      </c>
      <c r="F63" s="1">
        <v>5000267574</v>
      </c>
      <c r="G63" s="1">
        <v>105</v>
      </c>
      <c r="H63" s="1">
        <v>72</v>
      </c>
      <c r="I63" s="1">
        <v>74.75</v>
      </c>
      <c r="J63" s="1">
        <f t="shared" ref="J63:J64" si="44">I63-H63</f>
        <v>2.75</v>
      </c>
      <c r="K63" s="1">
        <f t="shared" ref="K63:K64" si="45">D63*J63</f>
        <v>2366.54</v>
      </c>
      <c r="L63" s="1"/>
      <c r="M63" s="1"/>
      <c r="N63" s="1"/>
    </row>
    <row r="64" spans="1:14" x14ac:dyDescent="0.25">
      <c r="A64" s="1">
        <v>1001816</v>
      </c>
      <c r="B64" s="1" t="s">
        <v>158</v>
      </c>
      <c r="C64" s="1" t="s">
        <v>392</v>
      </c>
      <c r="D64" s="3">
        <v>1433.44</v>
      </c>
      <c r="E64" s="1" t="s">
        <v>716</v>
      </c>
      <c r="F64" s="1">
        <v>5000267574</v>
      </c>
      <c r="G64" s="1">
        <v>105</v>
      </c>
      <c r="H64" s="1">
        <v>72</v>
      </c>
      <c r="I64" s="1">
        <v>74.75</v>
      </c>
      <c r="J64" s="1">
        <f t="shared" si="44"/>
        <v>2.75</v>
      </c>
      <c r="K64" s="1">
        <f t="shared" si="45"/>
        <v>3941.96</v>
      </c>
      <c r="L64" s="1"/>
      <c r="M64" s="1"/>
      <c r="N64" s="1"/>
    </row>
    <row r="65" spans="1:14" x14ac:dyDescent="0.25">
      <c r="A65" s="1">
        <v>1001816</v>
      </c>
      <c r="B65" s="1"/>
      <c r="C65" s="1" t="s">
        <v>392</v>
      </c>
      <c r="D65" s="2">
        <v>2294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>
        <v>1002060</v>
      </c>
      <c r="B66" s="1" t="s">
        <v>159</v>
      </c>
      <c r="C66" s="1" t="s">
        <v>392</v>
      </c>
      <c r="D66" s="1">
        <v>859</v>
      </c>
      <c r="E66" s="1" t="s">
        <v>712</v>
      </c>
      <c r="F66" s="1">
        <v>5000262385</v>
      </c>
      <c r="G66" s="1">
        <v>105</v>
      </c>
      <c r="H66" s="1"/>
      <c r="I66" s="1"/>
      <c r="J66" s="1"/>
      <c r="K66" s="1"/>
      <c r="L66" s="1"/>
      <c r="M66" s="1"/>
      <c r="N66" s="1"/>
    </row>
    <row r="67" spans="1:14" x14ac:dyDescent="0.25">
      <c r="A67" s="1">
        <v>1002060</v>
      </c>
      <c r="B67" s="1" t="s">
        <v>159</v>
      </c>
      <c r="C67" s="1" t="s">
        <v>392</v>
      </c>
      <c r="D67" s="2">
        <v>1123</v>
      </c>
      <c r="E67" s="1" t="s">
        <v>717</v>
      </c>
      <c r="F67" s="1">
        <v>5000266155</v>
      </c>
      <c r="G67" s="1">
        <v>105</v>
      </c>
      <c r="H67" s="1"/>
      <c r="I67" s="1"/>
      <c r="J67" s="1"/>
      <c r="K67" s="1"/>
      <c r="L67" s="1"/>
      <c r="M67" s="1"/>
      <c r="N67" s="1"/>
    </row>
    <row r="68" spans="1:14" x14ac:dyDescent="0.25">
      <c r="A68" s="1">
        <v>1002060</v>
      </c>
      <c r="B68" s="1"/>
      <c r="C68" s="1" t="s">
        <v>392</v>
      </c>
      <c r="D68" s="2">
        <v>1982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>
        <v>1002944</v>
      </c>
      <c r="B69" s="1" t="s">
        <v>665</v>
      </c>
      <c r="C69" s="1" t="s">
        <v>392</v>
      </c>
      <c r="D69" s="1">
        <v>500</v>
      </c>
      <c r="E69" s="1" t="s">
        <v>717</v>
      </c>
      <c r="F69" s="1">
        <v>5000266155</v>
      </c>
      <c r="G69" s="1">
        <v>105</v>
      </c>
      <c r="H69" s="1"/>
      <c r="I69" s="1"/>
      <c r="J69" s="1"/>
      <c r="K69" s="1"/>
      <c r="L69" s="1"/>
      <c r="M69" s="1"/>
      <c r="N69" s="1"/>
    </row>
    <row r="70" spans="1:14" x14ac:dyDescent="0.25">
      <c r="A70" s="1">
        <v>1002944</v>
      </c>
      <c r="B70" s="1" t="s">
        <v>665</v>
      </c>
      <c r="C70" s="1" t="s">
        <v>392</v>
      </c>
      <c r="D70" s="1">
        <v>438</v>
      </c>
      <c r="E70" s="1" t="s">
        <v>717</v>
      </c>
      <c r="F70" s="1">
        <v>5000266155</v>
      </c>
      <c r="G70" s="1">
        <v>105</v>
      </c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2">
        <f>D55+D62+D65+D68+D69+D70</f>
        <v>18200</v>
      </c>
      <c r="E72" s="1"/>
      <c r="F72" s="1"/>
      <c r="G72" s="1"/>
      <c r="H72" s="1"/>
      <c r="I72" s="1"/>
      <c r="J72" s="1"/>
      <c r="K72" s="1">
        <f>SUM(K52:K71)</f>
        <v>43318.599999999926</v>
      </c>
      <c r="L72" s="1"/>
      <c r="M72" s="1"/>
      <c r="N72" s="1"/>
    </row>
    <row r="74" spans="1:14" x14ac:dyDescent="0.25">
      <c r="A74" t="s">
        <v>666</v>
      </c>
    </row>
    <row r="75" spans="1:14" x14ac:dyDescent="0.25">
      <c r="A75" s="1" t="s">
        <v>438</v>
      </c>
      <c r="B75" s="1" t="s">
        <v>169</v>
      </c>
      <c r="C75" s="1"/>
      <c r="D75" s="1" t="s">
        <v>22</v>
      </c>
      <c r="E75" s="1" t="s">
        <v>436</v>
      </c>
      <c r="F75" s="1" t="s">
        <v>208</v>
      </c>
      <c r="G75" s="1" t="s">
        <v>209</v>
      </c>
      <c r="H75" s="1" t="s">
        <v>210</v>
      </c>
      <c r="I75" s="1" t="s">
        <v>52</v>
      </c>
      <c r="J75" s="1" t="s">
        <v>21</v>
      </c>
    </row>
    <row r="76" spans="1:14" x14ac:dyDescent="0.25">
      <c r="A76" s="1">
        <v>1001827</v>
      </c>
      <c r="B76" s="1" t="s">
        <v>502</v>
      </c>
      <c r="C76" s="1" t="s">
        <v>0</v>
      </c>
      <c r="D76" s="2">
        <v>10500</v>
      </c>
      <c r="E76" s="1" t="s">
        <v>705</v>
      </c>
      <c r="F76" s="1">
        <v>5000267420</v>
      </c>
      <c r="G76" s="1">
        <v>1310</v>
      </c>
      <c r="H76" s="1">
        <f>1600+285</f>
        <v>1885</v>
      </c>
      <c r="I76" s="1">
        <f>H76-G76</f>
        <v>575</v>
      </c>
      <c r="J76" s="1">
        <f>I76*D76/1000</f>
        <v>6037.5</v>
      </c>
    </row>
    <row r="77" spans="1:14" x14ac:dyDescent="0.25">
      <c r="A77" s="1">
        <v>1001827</v>
      </c>
      <c r="B77" s="1"/>
      <c r="C77" s="1" t="s">
        <v>0</v>
      </c>
      <c r="D77" s="2">
        <v>10500</v>
      </c>
      <c r="E77" s="1"/>
      <c r="F77" s="1"/>
      <c r="G77" s="1"/>
      <c r="H77" s="1"/>
      <c r="I77" s="1"/>
      <c r="J77" s="1"/>
    </row>
    <row r="78" spans="1:14" x14ac:dyDescent="0.25">
      <c r="A78" s="1">
        <v>1002057</v>
      </c>
      <c r="B78" s="1" t="s">
        <v>718</v>
      </c>
      <c r="C78" s="1" t="s">
        <v>0</v>
      </c>
      <c r="D78" s="2">
        <v>21000</v>
      </c>
      <c r="E78" s="1" t="s">
        <v>719</v>
      </c>
      <c r="F78" s="1">
        <v>5000263974</v>
      </c>
      <c r="G78" s="1">
        <v>1310</v>
      </c>
      <c r="H78" s="1">
        <f>1600+285</f>
        <v>1885</v>
      </c>
      <c r="I78" s="1">
        <f>H78-G78</f>
        <v>575</v>
      </c>
      <c r="J78" s="1">
        <f>I78*D78/1000</f>
        <v>12075</v>
      </c>
    </row>
    <row r="79" spans="1:14" x14ac:dyDescent="0.25">
      <c r="A79" s="1">
        <v>1002057</v>
      </c>
      <c r="B79" s="1"/>
      <c r="C79" s="1" t="s">
        <v>0</v>
      </c>
      <c r="D79" s="2">
        <v>21000</v>
      </c>
      <c r="E79" s="1"/>
      <c r="F79" s="1"/>
      <c r="G79" s="1"/>
      <c r="H79" s="1"/>
      <c r="I79" s="1"/>
      <c r="J79" s="1"/>
    </row>
    <row r="80" spans="1:14" x14ac:dyDescent="0.25">
      <c r="A80" s="1">
        <v>1002059</v>
      </c>
      <c r="B80" s="1" t="s">
        <v>720</v>
      </c>
      <c r="C80" s="1" t="s">
        <v>0</v>
      </c>
      <c r="D80" s="2">
        <v>21000</v>
      </c>
      <c r="E80" s="1" t="s">
        <v>719</v>
      </c>
      <c r="F80" s="1">
        <v>5000263974</v>
      </c>
      <c r="G80" s="1">
        <v>1090</v>
      </c>
      <c r="H80" s="1">
        <f>1200+200</f>
        <v>1400</v>
      </c>
      <c r="I80" s="1">
        <f>H80-G80</f>
        <v>310</v>
      </c>
      <c r="J80" s="1">
        <f>I80*D80/1000</f>
        <v>6510</v>
      </c>
    </row>
    <row r="81" spans="1:14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</row>
    <row r="82" spans="1:14" x14ac:dyDescent="0.25">
      <c r="A82" s="1"/>
      <c r="B82" s="1"/>
      <c r="C82" s="1"/>
      <c r="D82" s="2">
        <f>D80+D79+D77</f>
        <v>52500</v>
      </c>
      <c r="E82" s="1"/>
      <c r="F82" s="1"/>
      <c r="G82" s="1"/>
      <c r="H82" s="1"/>
      <c r="I82" s="1" t="s">
        <v>58</v>
      </c>
      <c r="J82" s="1">
        <f>SUM(J76:J80)</f>
        <v>24622.5</v>
      </c>
    </row>
    <row r="83" spans="1:14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</row>
    <row r="84" spans="1:14" x14ac:dyDescent="0.25">
      <c r="A84" s="1" t="s">
        <v>669</v>
      </c>
      <c r="B84" s="1"/>
      <c r="C84" s="1"/>
      <c r="D84" s="2"/>
      <c r="E84" s="1"/>
      <c r="F84" s="1"/>
      <c r="G84" s="1"/>
      <c r="H84" s="1"/>
      <c r="I84" s="1"/>
      <c r="J84" s="1"/>
    </row>
    <row r="85" spans="1:14" x14ac:dyDescent="0.25">
      <c r="A85" s="1"/>
      <c r="B85" s="1"/>
      <c r="C85" s="1"/>
      <c r="D85" s="1"/>
      <c r="E85" s="1"/>
      <c r="F85" s="1"/>
      <c r="G85" s="199" t="s">
        <v>603</v>
      </c>
      <c r="H85" s="199"/>
      <c r="I85" s="199"/>
      <c r="J85" s="199"/>
      <c r="K85" s="199" t="s">
        <v>604</v>
      </c>
      <c r="L85" s="199"/>
      <c r="M85" s="199"/>
      <c r="N85" s="199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 t="s">
        <v>438</v>
      </c>
      <c r="B87" s="1" t="s">
        <v>439</v>
      </c>
      <c r="C87" s="1" t="s">
        <v>172</v>
      </c>
      <c r="D87" s="1" t="s">
        <v>22</v>
      </c>
      <c r="E87" s="1" t="s">
        <v>594</v>
      </c>
      <c r="F87" s="1" t="s">
        <v>172</v>
      </c>
      <c r="G87" s="1" t="s">
        <v>601</v>
      </c>
      <c r="H87" s="1" t="s">
        <v>210</v>
      </c>
      <c r="I87" s="1" t="s">
        <v>602</v>
      </c>
      <c r="J87" s="1" t="s">
        <v>443</v>
      </c>
      <c r="K87" s="1" t="s">
        <v>601</v>
      </c>
      <c r="L87" s="1" t="s">
        <v>210</v>
      </c>
      <c r="M87" s="1" t="s">
        <v>602</v>
      </c>
      <c r="N87" s="1" t="s">
        <v>443</v>
      </c>
    </row>
    <row r="88" spans="1:14" x14ac:dyDescent="0.25">
      <c r="A88" s="1">
        <v>1001781</v>
      </c>
      <c r="B88" s="1" t="s">
        <v>553</v>
      </c>
      <c r="C88" s="1" t="s">
        <v>0</v>
      </c>
      <c r="D88" s="2">
        <v>10000</v>
      </c>
      <c r="E88" s="1" t="s">
        <v>704</v>
      </c>
      <c r="F88" s="1">
        <v>5000265681</v>
      </c>
      <c r="G88" s="4">
        <v>390</v>
      </c>
      <c r="H88" s="4">
        <v>480</v>
      </c>
      <c r="I88" s="1">
        <f t="shared" ref="I88:I89" si="46">H88-G88</f>
        <v>90</v>
      </c>
      <c r="J88" s="1">
        <f t="shared" ref="J88:J89" si="47">I88*D88/1000</f>
        <v>900</v>
      </c>
      <c r="K88" s="1"/>
      <c r="L88" s="1"/>
      <c r="M88" s="1"/>
      <c r="N88" s="1"/>
    </row>
    <row r="89" spans="1:14" x14ac:dyDescent="0.25">
      <c r="A89" s="1">
        <v>1001781</v>
      </c>
      <c r="B89" s="1" t="s">
        <v>553</v>
      </c>
      <c r="C89" s="1" t="s">
        <v>0</v>
      </c>
      <c r="D89" s="2">
        <v>28400</v>
      </c>
      <c r="E89" s="1" t="s">
        <v>721</v>
      </c>
      <c r="F89" s="1">
        <v>5000266122</v>
      </c>
      <c r="G89" s="4">
        <v>390</v>
      </c>
      <c r="H89" s="4">
        <v>480</v>
      </c>
      <c r="I89" s="1">
        <f t="shared" si="46"/>
        <v>90</v>
      </c>
      <c r="J89" s="1">
        <f t="shared" si="47"/>
        <v>2556</v>
      </c>
      <c r="K89" s="1"/>
      <c r="L89" s="1"/>
      <c r="M89" s="1"/>
      <c r="N89" s="1"/>
    </row>
    <row r="90" spans="1:14" x14ac:dyDescent="0.25">
      <c r="A90" s="1">
        <v>1001781</v>
      </c>
      <c r="B90" s="1"/>
      <c r="C90" s="1" t="s">
        <v>0</v>
      </c>
      <c r="D90" s="2">
        <v>38400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>
        <v>1003045</v>
      </c>
      <c r="B91" s="1" t="s">
        <v>554</v>
      </c>
      <c r="C91" s="1" t="s">
        <v>0</v>
      </c>
      <c r="D91" s="2">
        <v>46000</v>
      </c>
      <c r="E91" s="1" t="s">
        <v>722</v>
      </c>
      <c r="F91" s="1">
        <v>5000262868</v>
      </c>
      <c r="G91" s="1">
        <v>370</v>
      </c>
      <c r="H91" s="1">
        <v>460</v>
      </c>
      <c r="I91" s="1">
        <f t="shared" ref="I91" si="48">H91-G91</f>
        <v>90</v>
      </c>
      <c r="J91" s="1">
        <f>I91*D91/1000</f>
        <v>4140</v>
      </c>
      <c r="K91" s="4">
        <v>260</v>
      </c>
      <c r="L91" s="4">
        <v>370</v>
      </c>
      <c r="M91" s="1">
        <f t="shared" ref="M91" si="49">L91-K91</f>
        <v>110</v>
      </c>
      <c r="N91" s="1">
        <f>M91*D91/1000</f>
        <v>5060</v>
      </c>
    </row>
    <row r="92" spans="1:14" x14ac:dyDescent="0.25">
      <c r="A92" s="1">
        <v>1003045</v>
      </c>
      <c r="B92" s="1"/>
      <c r="C92" s="1" t="s">
        <v>0</v>
      </c>
      <c r="D92" s="2">
        <v>46000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>
        <v>1003046</v>
      </c>
      <c r="B93" s="1" t="s">
        <v>555</v>
      </c>
      <c r="C93" s="1" t="s">
        <v>0</v>
      </c>
      <c r="D93" s="2">
        <v>10000</v>
      </c>
      <c r="E93" s="1" t="s">
        <v>704</v>
      </c>
      <c r="F93" s="1">
        <v>5000265681</v>
      </c>
      <c r="G93" s="1">
        <v>500</v>
      </c>
      <c r="H93" s="1">
        <v>850</v>
      </c>
      <c r="I93" s="1">
        <f t="shared" ref="I93:I95" si="50">H93-G93</f>
        <v>350</v>
      </c>
      <c r="J93" s="1">
        <f t="shared" ref="J93:J95" si="51">I93*D93/1000</f>
        <v>3500</v>
      </c>
      <c r="K93" s="4">
        <v>460</v>
      </c>
      <c r="L93" s="4">
        <v>500</v>
      </c>
      <c r="M93" s="1">
        <f t="shared" ref="M93:M95" si="52">L93-K93</f>
        <v>40</v>
      </c>
      <c r="N93" s="1">
        <f t="shared" ref="N93:N95" si="53">M93*D93/1000</f>
        <v>400</v>
      </c>
    </row>
    <row r="94" spans="1:14" x14ac:dyDescent="0.25">
      <c r="A94" s="1">
        <v>1003046</v>
      </c>
      <c r="B94" s="1" t="s">
        <v>555</v>
      </c>
      <c r="C94" s="1" t="s">
        <v>0</v>
      </c>
      <c r="D94" s="2">
        <v>9500</v>
      </c>
      <c r="E94" s="1" t="s">
        <v>721</v>
      </c>
      <c r="F94" s="1">
        <v>5000266122</v>
      </c>
      <c r="G94" s="1">
        <v>500</v>
      </c>
      <c r="H94" s="1">
        <v>850</v>
      </c>
      <c r="I94" s="1">
        <f t="shared" si="50"/>
        <v>350</v>
      </c>
      <c r="J94" s="1">
        <f t="shared" si="51"/>
        <v>3325</v>
      </c>
      <c r="K94" s="4">
        <v>460</v>
      </c>
      <c r="L94" s="4">
        <v>500</v>
      </c>
      <c r="M94" s="1">
        <f t="shared" si="52"/>
        <v>40</v>
      </c>
      <c r="N94" s="1">
        <f t="shared" si="53"/>
        <v>380</v>
      </c>
    </row>
    <row r="95" spans="1:14" x14ac:dyDescent="0.25">
      <c r="A95" s="1">
        <v>1003046</v>
      </c>
      <c r="B95" s="1" t="s">
        <v>555</v>
      </c>
      <c r="C95" s="1" t="s">
        <v>0</v>
      </c>
      <c r="D95" s="2">
        <v>4330</v>
      </c>
      <c r="E95" s="1" t="s">
        <v>715</v>
      </c>
      <c r="F95" s="1">
        <v>5000268995</v>
      </c>
      <c r="G95" s="1">
        <v>500</v>
      </c>
      <c r="H95" s="1">
        <v>850</v>
      </c>
      <c r="I95" s="1">
        <f t="shared" si="50"/>
        <v>350</v>
      </c>
      <c r="J95" s="1">
        <f t="shared" si="51"/>
        <v>1515.5</v>
      </c>
      <c r="K95" s="4">
        <v>460</v>
      </c>
      <c r="L95" s="4">
        <v>500</v>
      </c>
      <c r="M95" s="1">
        <f t="shared" si="52"/>
        <v>40</v>
      </c>
      <c r="N95" s="1">
        <f t="shared" si="53"/>
        <v>173.2</v>
      </c>
    </row>
    <row r="96" spans="1:14" x14ac:dyDescent="0.25">
      <c r="A96" s="1">
        <v>1003046</v>
      </c>
      <c r="B96" s="1"/>
      <c r="C96" s="1" t="s">
        <v>0</v>
      </c>
      <c r="D96" s="2">
        <v>23830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>
        <v>1003116</v>
      </c>
      <c r="B97" s="1" t="s">
        <v>672</v>
      </c>
      <c r="C97" s="1" t="s">
        <v>0</v>
      </c>
      <c r="D97" s="2">
        <v>15500</v>
      </c>
      <c r="E97" s="1" t="s">
        <v>721</v>
      </c>
      <c r="F97" s="1">
        <v>5000266122</v>
      </c>
      <c r="G97" s="1">
        <v>600</v>
      </c>
      <c r="H97" s="1">
        <v>680</v>
      </c>
      <c r="I97" s="1">
        <f t="shared" ref="I97:I99" si="54">H97-G97</f>
        <v>80</v>
      </c>
      <c r="J97" s="1">
        <f t="shared" ref="J97:J99" si="55">I97*D97/1000</f>
        <v>1240</v>
      </c>
      <c r="K97" s="4">
        <v>500</v>
      </c>
      <c r="L97" s="4">
        <v>600</v>
      </c>
      <c r="M97" s="4">
        <f t="shared" ref="M97:M99" si="56">L97-K97</f>
        <v>100</v>
      </c>
      <c r="N97" s="4">
        <f t="shared" ref="N97:N99" si="57">M97*D97/1000</f>
        <v>1550</v>
      </c>
    </row>
    <row r="98" spans="1:14" x14ac:dyDescent="0.25">
      <c r="A98" s="1">
        <v>1003116</v>
      </c>
      <c r="B98" s="1" t="s">
        <v>672</v>
      </c>
      <c r="C98" s="1" t="s">
        <v>0</v>
      </c>
      <c r="D98" s="2">
        <v>63000</v>
      </c>
      <c r="E98" s="1" t="s">
        <v>716</v>
      </c>
      <c r="F98" s="1">
        <v>5000267577</v>
      </c>
      <c r="G98" s="1">
        <v>600</v>
      </c>
      <c r="H98" s="1">
        <v>680</v>
      </c>
      <c r="I98" s="1">
        <f t="shared" si="54"/>
        <v>80</v>
      </c>
      <c r="J98" s="1">
        <f t="shared" si="55"/>
        <v>5040</v>
      </c>
      <c r="K98" s="4">
        <v>500</v>
      </c>
      <c r="L98" s="4">
        <v>600</v>
      </c>
      <c r="M98" s="4">
        <f t="shared" si="56"/>
        <v>100</v>
      </c>
      <c r="N98" s="4">
        <f t="shared" si="57"/>
        <v>6300</v>
      </c>
    </row>
    <row r="99" spans="1:14" x14ac:dyDescent="0.25">
      <c r="A99" s="1">
        <v>1003116</v>
      </c>
      <c r="B99" s="1" t="s">
        <v>672</v>
      </c>
      <c r="C99" s="1" t="s">
        <v>0</v>
      </c>
      <c r="D99" s="2">
        <v>21500</v>
      </c>
      <c r="E99" s="1" t="s">
        <v>715</v>
      </c>
      <c r="F99" s="1">
        <v>5000268995</v>
      </c>
      <c r="G99" s="1">
        <v>600</v>
      </c>
      <c r="H99" s="1">
        <v>680</v>
      </c>
      <c r="I99" s="1">
        <f t="shared" si="54"/>
        <v>80</v>
      </c>
      <c r="J99" s="1">
        <f t="shared" si="55"/>
        <v>1720</v>
      </c>
      <c r="K99" s="4">
        <v>500</v>
      </c>
      <c r="L99" s="4">
        <v>600</v>
      </c>
      <c r="M99" s="4">
        <f t="shared" si="56"/>
        <v>100</v>
      </c>
      <c r="N99" s="4">
        <f t="shared" si="57"/>
        <v>2150</v>
      </c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2">
        <f>D90+D92+D96+D97+D98+D99</f>
        <v>208230</v>
      </c>
      <c r="E101" s="2">
        <f>D101-D90</f>
        <v>169830</v>
      </c>
      <c r="F101" s="1"/>
      <c r="G101" s="1"/>
      <c r="H101" s="1"/>
      <c r="I101" s="1"/>
      <c r="J101" s="1">
        <f>SUM(J88:J99)</f>
        <v>23936.5</v>
      </c>
      <c r="K101" s="1"/>
      <c r="L101" s="1"/>
      <c r="M101" s="1"/>
      <c r="N101" s="1">
        <f>SUM(N88:N99)</f>
        <v>16013.2</v>
      </c>
    </row>
    <row r="103" spans="1:14" x14ac:dyDescent="0.25">
      <c r="A103" t="s">
        <v>678</v>
      </c>
    </row>
    <row r="104" spans="1:14" x14ac:dyDescent="0.25">
      <c r="A104" s="1" t="s">
        <v>438</v>
      </c>
      <c r="B104" s="1" t="s">
        <v>439</v>
      </c>
      <c r="C104" s="1"/>
      <c r="D104" s="1" t="s">
        <v>22</v>
      </c>
      <c r="E104" s="1" t="s">
        <v>594</v>
      </c>
      <c r="F104" s="1" t="s">
        <v>172</v>
      </c>
      <c r="G104" s="1" t="s">
        <v>679</v>
      </c>
      <c r="H104" s="1" t="s">
        <v>601</v>
      </c>
      <c r="I104" s="1" t="s">
        <v>210</v>
      </c>
      <c r="J104" s="1" t="s">
        <v>602</v>
      </c>
      <c r="K104" s="1" t="s">
        <v>443</v>
      </c>
    </row>
    <row r="105" spans="1:14" x14ac:dyDescent="0.25">
      <c r="A105" s="1">
        <v>1001863</v>
      </c>
      <c r="B105" s="1" t="s">
        <v>681</v>
      </c>
      <c r="C105" s="1" t="s">
        <v>0</v>
      </c>
      <c r="D105" s="2">
        <v>100800</v>
      </c>
      <c r="E105" s="1" t="s">
        <v>709</v>
      </c>
      <c r="F105" s="1">
        <v>5000263650</v>
      </c>
      <c r="G105" s="1">
        <v>103</v>
      </c>
      <c r="H105" s="1">
        <v>713.78</v>
      </c>
      <c r="I105" s="1">
        <v>720</v>
      </c>
      <c r="J105" s="1">
        <f>I105-H105</f>
        <v>6.2200000000000273</v>
      </c>
      <c r="K105" s="1">
        <f>J105*D105/1000</f>
        <v>626.97600000000284</v>
      </c>
    </row>
    <row r="106" spans="1:14" x14ac:dyDescent="0.25">
      <c r="A106" s="1">
        <v>1001863</v>
      </c>
      <c r="B106" s="1" t="s">
        <v>681</v>
      </c>
      <c r="C106" s="1" t="s">
        <v>0</v>
      </c>
      <c r="D106" s="2">
        <v>211200</v>
      </c>
      <c r="E106" s="1" t="s">
        <v>723</v>
      </c>
      <c r="F106" s="1">
        <v>5000263817</v>
      </c>
      <c r="G106" s="1">
        <v>103</v>
      </c>
      <c r="H106" s="1">
        <v>713.78</v>
      </c>
      <c r="I106" s="1">
        <v>720</v>
      </c>
      <c r="J106" s="1">
        <f>I106-H106</f>
        <v>6.2200000000000273</v>
      </c>
      <c r="K106" s="1">
        <f>J106*D106/1000</f>
        <v>1313.6640000000059</v>
      </c>
    </row>
    <row r="107" spans="1:14" x14ac:dyDescent="0.25">
      <c r="A107" s="1">
        <v>1001863</v>
      </c>
      <c r="B107" s="1"/>
      <c r="C107" s="1" t="s">
        <v>0</v>
      </c>
      <c r="D107" s="2">
        <v>312000</v>
      </c>
      <c r="E107" s="1"/>
      <c r="F107" s="1"/>
      <c r="G107" s="1"/>
      <c r="H107" s="1"/>
      <c r="I107" s="1"/>
      <c r="J107" s="1"/>
      <c r="K107" s="1"/>
    </row>
    <row r="108" spans="1:14" x14ac:dyDescent="0.25">
      <c r="A108" s="1">
        <v>1001865</v>
      </c>
      <c r="B108" s="1" t="s">
        <v>682</v>
      </c>
      <c r="C108" s="1" t="s">
        <v>0</v>
      </c>
      <c r="D108" s="2">
        <v>203550</v>
      </c>
      <c r="E108" s="1" t="s">
        <v>723</v>
      </c>
      <c r="F108" s="1">
        <v>5000263719</v>
      </c>
      <c r="G108" s="1">
        <v>103</v>
      </c>
      <c r="H108" s="1">
        <v>872.34</v>
      </c>
      <c r="I108" s="1">
        <v>880</v>
      </c>
      <c r="J108" s="1">
        <f t="shared" ref="J108:J109" si="58">I108-H108</f>
        <v>7.6599999999999682</v>
      </c>
      <c r="K108" s="1">
        <f t="shared" ref="K108:K109" si="59">J108*D108/1000</f>
        <v>1559.1929999999934</v>
      </c>
    </row>
    <row r="109" spans="1:14" x14ac:dyDescent="0.25">
      <c r="A109" s="1">
        <v>1001865</v>
      </c>
      <c r="B109" s="1" t="s">
        <v>682</v>
      </c>
      <c r="C109" s="1" t="s">
        <v>0</v>
      </c>
      <c r="D109" s="2">
        <v>178200</v>
      </c>
      <c r="E109" s="1" t="s">
        <v>719</v>
      </c>
      <c r="F109" s="1">
        <v>5000263996</v>
      </c>
      <c r="G109" s="1">
        <v>103</v>
      </c>
      <c r="H109" s="1">
        <v>872.34</v>
      </c>
      <c r="I109" s="1">
        <v>880</v>
      </c>
      <c r="J109" s="1">
        <f t="shared" si="58"/>
        <v>7.6599999999999682</v>
      </c>
      <c r="K109" s="1">
        <f t="shared" si="59"/>
        <v>1365.0119999999945</v>
      </c>
    </row>
    <row r="110" spans="1:14" x14ac:dyDescent="0.25">
      <c r="A110" s="1">
        <v>1001865</v>
      </c>
      <c r="B110" s="1"/>
      <c r="C110" s="1" t="s">
        <v>0</v>
      </c>
      <c r="D110" s="2">
        <v>381750</v>
      </c>
      <c r="E110" s="1"/>
      <c r="F110" s="1"/>
      <c r="G110" s="1"/>
      <c r="H110" s="1"/>
      <c r="I110" s="1"/>
      <c r="J110" s="1"/>
      <c r="K110" s="1"/>
    </row>
    <row r="111" spans="1:14" x14ac:dyDescent="0.25">
      <c r="A111" s="1">
        <v>1001867</v>
      </c>
      <c r="B111" s="1" t="s">
        <v>609</v>
      </c>
      <c r="C111" s="1" t="s">
        <v>0</v>
      </c>
      <c r="D111" s="2">
        <v>222100</v>
      </c>
      <c r="E111" s="1" t="s">
        <v>724</v>
      </c>
      <c r="F111" s="1">
        <v>5000262927</v>
      </c>
      <c r="G111" s="1">
        <v>103</v>
      </c>
      <c r="H111" s="1">
        <v>872.34</v>
      </c>
      <c r="I111" s="1">
        <v>880</v>
      </c>
      <c r="J111" s="1">
        <f t="shared" ref="J111:J112" si="60">I111-H111</f>
        <v>7.6599999999999682</v>
      </c>
      <c r="K111" s="1">
        <f t="shared" ref="K111:K112" si="61">J111*D111/1000</f>
        <v>1701.285999999993</v>
      </c>
    </row>
    <row r="112" spans="1:14" x14ac:dyDescent="0.25">
      <c r="A112" s="1">
        <v>1001867</v>
      </c>
      <c r="B112" s="1" t="s">
        <v>609</v>
      </c>
      <c r="C112" s="1" t="s">
        <v>0</v>
      </c>
      <c r="D112" s="2">
        <v>50000</v>
      </c>
      <c r="E112" s="1" t="s">
        <v>724</v>
      </c>
      <c r="F112" s="1">
        <v>5000262927</v>
      </c>
      <c r="G112" s="1">
        <v>103</v>
      </c>
      <c r="H112" s="1">
        <v>872.34</v>
      </c>
      <c r="I112" s="1">
        <v>880</v>
      </c>
      <c r="J112" s="1">
        <f t="shared" si="60"/>
        <v>7.6599999999999682</v>
      </c>
      <c r="K112" s="1">
        <f t="shared" si="61"/>
        <v>382.99999999999841</v>
      </c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2">
        <f>D107+D110+D111+D112</f>
        <v>965850</v>
      </c>
      <c r="E114" s="1"/>
      <c r="F114" s="1"/>
      <c r="G114" s="1"/>
      <c r="H114" s="1"/>
      <c r="I114" s="1"/>
      <c r="J114" s="1"/>
      <c r="K114" s="1">
        <f>SUM(K105:K112)</f>
        <v>6949.1309999999876</v>
      </c>
    </row>
    <row r="116" spans="1:11" x14ac:dyDescent="0.25">
      <c r="A116" s="1" t="s">
        <v>167</v>
      </c>
      <c r="B116" s="1" t="s">
        <v>169</v>
      </c>
      <c r="C116" s="1"/>
      <c r="D116" s="1" t="s">
        <v>22</v>
      </c>
      <c r="E116" s="1"/>
      <c r="F116" s="1" t="s">
        <v>618</v>
      </c>
      <c r="G116" s="1" t="s">
        <v>619</v>
      </c>
      <c r="H116" s="1" t="s">
        <v>210</v>
      </c>
      <c r="I116" s="1" t="s">
        <v>465</v>
      </c>
      <c r="J116" s="1" t="s">
        <v>21</v>
      </c>
    </row>
    <row r="117" spans="1:11" x14ac:dyDescent="0.25">
      <c r="A117" s="1">
        <v>1003049</v>
      </c>
      <c r="B117" s="1" t="s">
        <v>725</v>
      </c>
      <c r="C117" s="1" t="s">
        <v>392</v>
      </c>
      <c r="D117" s="1">
        <v>488.34</v>
      </c>
      <c r="E117" s="1" t="s">
        <v>712</v>
      </c>
      <c r="F117" s="1">
        <v>5000262402</v>
      </c>
      <c r="G117" s="1">
        <v>169.53</v>
      </c>
      <c r="H117" s="1">
        <v>178.17</v>
      </c>
      <c r="I117" s="1">
        <f>H117-G117</f>
        <v>8.6399999999999864</v>
      </c>
      <c r="J117" s="1">
        <f>I117*D117</f>
        <v>4219.2575999999935</v>
      </c>
    </row>
    <row r="118" spans="1:11" x14ac:dyDescent="0.25">
      <c r="A118" s="1">
        <v>1003049</v>
      </c>
      <c r="B118" s="1"/>
      <c r="C118" s="1" t="s">
        <v>392</v>
      </c>
      <c r="D118" s="1">
        <v>488.34</v>
      </c>
      <c r="E118" s="1"/>
      <c r="F118" s="1"/>
      <c r="G118" s="1"/>
      <c r="H118" s="1"/>
      <c r="I118" s="1"/>
      <c r="J118" s="1"/>
    </row>
    <row r="119" spans="1:11" x14ac:dyDescent="0.25">
      <c r="A119" s="1">
        <v>1003050</v>
      </c>
      <c r="B119" s="1" t="s">
        <v>726</v>
      </c>
      <c r="C119" s="1" t="s">
        <v>392</v>
      </c>
      <c r="D119" s="1">
        <v>953.55</v>
      </c>
      <c r="E119" s="1" t="s">
        <v>712</v>
      </c>
      <c r="F119" s="1">
        <v>5000262402</v>
      </c>
      <c r="G119" s="1">
        <v>169.53</v>
      </c>
      <c r="H119" s="1">
        <v>178.17</v>
      </c>
      <c r="I119" s="1">
        <f>H119-G119</f>
        <v>8.6399999999999864</v>
      </c>
      <c r="J119" s="1">
        <f>I119*D119</f>
        <v>8238.6719999999859</v>
      </c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1" x14ac:dyDescent="0.25">
      <c r="A121" s="1"/>
      <c r="B121" s="1"/>
      <c r="C121" s="1"/>
      <c r="D121" s="1">
        <f>D118+D119</f>
        <v>1441.8899999999999</v>
      </c>
      <c r="E121" s="1"/>
      <c r="F121" s="1"/>
      <c r="G121" s="1"/>
      <c r="H121" s="1"/>
      <c r="I121" s="1"/>
      <c r="J121" s="1">
        <f>SUM(J117:J119)</f>
        <v>12457.929599999979</v>
      </c>
    </row>
    <row r="122" spans="1:11" x14ac:dyDescent="0.25">
      <c r="A122" s="1" t="s">
        <v>390</v>
      </c>
      <c r="B122" s="1" t="s">
        <v>169</v>
      </c>
      <c r="C122" s="1" t="s">
        <v>208</v>
      </c>
      <c r="D122" s="1" t="s">
        <v>168</v>
      </c>
      <c r="E122" s="1"/>
      <c r="F122" s="1" t="s">
        <v>22</v>
      </c>
      <c r="G122" s="1" t="s">
        <v>209</v>
      </c>
      <c r="H122" s="1" t="s">
        <v>210</v>
      </c>
      <c r="I122" s="1" t="s">
        <v>52</v>
      </c>
      <c r="J122" s="1" t="s">
        <v>21</v>
      </c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1" x14ac:dyDescent="0.25">
      <c r="A124" s="1">
        <v>1002348</v>
      </c>
      <c r="B124" s="1" t="s">
        <v>212</v>
      </c>
      <c r="C124" s="1" t="s">
        <v>392</v>
      </c>
      <c r="D124" s="1">
        <v>86.4</v>
      </c>
      <c r="E124" s="1" t="s">
        <v>702</v>
      </c>
      <c r="F124" s="1">
        <v>5000264982</v>
      </c>
      <c r="G124" s="1">
        <v>140.35</v>
      </c>
      <c r="H124" s="1">
        <v>147.6</v>
      </c>
      <c r="I124" s="1">
        <f>H124-G124</f>
        <v>7.25</v>
      </c>
      <c r="J124" s="1">
        <f>I124*D124</f>
        <v>626.40000000000009</v>
      </c>
    </row>
    <row r="125" spans="1:11" x14ac:dyDescent="0.25">
      <c r="A125" s="1">
        <v>1002348</v>
      </c>
      <c r="B125" s="1" t="s">
        <v>212</v>
      </c>
      <c r="C125" s="1" t="s">
        <v>392</v>
      </c>
      <c r="D125" s="1">
        <v>34.700000000000003</v>
      </c>
      <c r="E125" s="1" t="s">
        <v>702</v>
      </c>
      <c r="F125" s="5">
        <v>5000264982</v>
      </c>
      <c r="G125" s="1">
        <v>140.35</v>
      </c>
      <c r="H125" s="1">
        <v>147.6</v>
      </c>
      <c r="I125" s="1">
        <f t="shared" ref="I125:I129" si="62">H125-G125</f>
        <v>7.25</v>
      </c>
      <c r="J125" s="1">
        <f t="shared" ref="J125:J129" si="63">I125*D125</f>
        <v>251.57500000000002</v>
      </c>
    </row>
    <row r="126" spans="1:11" x14ac:dyDescent="0.25">
      <c r="A126" s="1">
        <v>1002348</v>
      </c>
      <c r="B126" s="1" t="s">
        <v>212</v>
      </c>
      <c r="C126" s="1" t="s">
        <v>392</v>
      </c>
      <c r="D126" s="1">
        <v>403.7</v>
      </c>
      <c r="E126" s="1" t="s">
        <v>702</v>
      </c>
      <c r="F126" s="1">
        <v>5000264984</v>
      </c>
      <c r="G126" s="1">
        <v>140.35</v>
      </c>
      <c r="H126" s="1">
        <v>147.6</v>
      </c>
      <c r="I126" s="1">
        <f t="shared" si="62"/>
        <v>7.25</v>
      </c>
      <c r="J126" s="1">
        <f t="shared" si="63"/>
        <v>2926.8249999999998</v>
      </c>
    </row>
    <row r="127" spans="1:11" x14ac:dyDescent="0.25">
      <c r="A127" s="1">
        <v>1002348</v>
      </c>
      <c r="B127" s="1" t="s">
        <v>212</v>
      </c>
      <c r="C127" s="1" t="s">
        <v>392</v>
      </c>
      <c r="D127" s="1">
        <v>24</v>
      </c>
      <c r="E127" s="1" t="s">
        <v>702</v>
      </c>
      <c r="F127" s="1">
        <v>5000264984</v>
      </c>
      <c r="G127" s="1">
        <v>140.35</v>
      </c>
      <c r="H127" s="1">
        <v>147.6</v>
      </c>
      <c r="I127" s="1">
        <f t="shared" si="62"/>
        <v>7.25</v>
      </c>
      <c r="J127" s="1">
        <f t="shared" si="63"/>
        <v>174</v>
      </c>
    </row>
    <row r="128" spans="1:11" x14ac:dyDescent="0.25">
      <c r="A128" s="1">
        <v>1002348</v>
      </c>
      <c r="B128" s="1" t="s">
        <v>212</v>
      </c>
      <c r="C128" s="1" t="s">
        <v>392</v>
      </c>
      <c r="D128" s="1">
        <v>29.3</v>
      </c>
      <c r="E128" s="1" t="s">
        <v>702</v>
      </c>
      <c r="F128" s="1">
        <v>5000264984</v>
      </c>
      <c r="G128" s="1">
        <v>140.35</v>
      </c>
      <c r="H128" s="1">
        <v>147.6</v>
      </c>
      <c r="I128" s="1">
        <f t="shared" si="62"/>
        <v>7.25</v>
      </c>
      <c r="J128" s="1">
        <f t="shared" si="63"/>
        <v>212.42500000000001</v>
      </c>
    </row>
    <row r="129" spans="1:10" x14ac:dyDescent="0.25">
      <c r="A129" s="1">
        <v>1002348</v>
      </c>
      <c r="B129" s="1" t="s">
        <v>212</v>
      </c>
      <c r="C129" s="1" t="s">
        <v>392</v>
      </c>
      <c r="D129" s="1">
        <v>576</v>
      </c>
      <c r="E129" s="1" t="s">
        <v>702</v>
      </c>
      <c r="F129" s="1">
        <v>5000264983</v>
      </c>
      <c r="G129" s="1">
        <v>140.35</v>
      </c>
      <c r="H129" s="1">
        <v>147.6</v>
      </c>
      <c r="I129" s="1">
        <f t="shared" si="62"/>
        <v>7.25</v>
      </c>
      <c r="J129" s="1">
        <f t="shared" si="63"/>
        <v>4176</v>
      </c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>
        <f>SUM(D124:D130)</f>
        <v>1154.0999999999999</v>
      </c>
      <c r="E131" s="1"/>
      <c r="F131" s="1"/>
      <c r="G131" s="1"/>
      <c r="H131" s="1"/>
      <c r="I131" s="1"/>
      <c r="J131" s="1">
        <f>SUM(J124:J129)</f>
        <v>8367.2250000000004</v>
      </c>
    </row>
    <row r="133" spans="1:10" x14ac:dyDescent="0.25">
      <c r="B133" s="1" t="s">
        <v>693</v>
      </c>
      <c r="C133" s="1"/>
      <c r="D133" s="1"/>
      <c r="E133" s="1"/>
      <c r="F133" s="1"/>
    </row>
    <row r="134" spans="1:10" x14ac:dyDescent="0.25">
      <c r="B134" s="1" t="s">
        <v>694</v>
      </c>
      <c r="C134" s="1"/>
      <c r="D134" s="1"/>
      <c r="E134" s="1"/>
      <c r="F134" s="1"/>
    </row>
    <row r="135" spans="1:10" x14ac:dyDescent="0.25">
      <c r="B135" s="1"/>
      <c r="C135" s="1"/>
      <c r="D135" s="1"/>
      <c r="E135" s="1"/>
      <c r="F135" s="1"/>
    </row>
    <row r="136" spans="1:10" x14ac:dyDescent="0.25">
      <c r="B136" s="1"/>
      <c r="C136" s="1"/>
      <c r="D136" s="1"/>
      <c r="E136" s="1"/>
      <c r="F136" s="1"/>
    </row>
    <row r="137" spans="1:10" x14ac:dyDescent="0.25">
      <c r="A137">
        <v>1002760</v>
      </c>
      <c r="B137" s="1" t="s">
        <v>563</v>
      </c>
      <c r="C137" s="1" t="s">
        <v>0</v>
      </c>
      <c r="D137" s="2">
        <v>488400</v>
      </c>
      <c r="E137" s="1" t="s">
        <v>709</v>
      </c>
      <c r="F137" s="1">
        <v>5000263655</v>
      </c>
    </row>
    <row r="138" spans="1:10" x14ac:dyDescent="0.25">
      <c r="A138">
        <v>1002760</v>
      </c>
      <c r="B138" s="1" t="s">
        <v>563</v>
      </c>
      <c r="C138" s="1" t="s">
        <v>0</v>
      </c>
      <c r="D138" s="2">
        <v>501000</v>
      </c>
      <c r="E138" s="1" t="s">
        <v>705</v>
      </c>
      <c r="F138" s="1">
        <v>5000267268</v>
      </c>
    </row>
    <row r="139" spans="1:10" x14ac:dyDescent="0.25">
      <c r="A139">
        <v>1002760</v>
      </c>
      <c r="B139" s="1" t="s">
        <v>563</v>
      </c>
      <c r="C139" s="1" t="s">
        <v>0</v>
      </c>
      <c r="D139" s="2">
        <v>151500</v>
      </c>
      <c r="E139" s="1" t="s">
        <v>705</v>
      </c>
      <c r="F139" s="1">
        <v>5000267280</v>
      </c>
    </row>
    <row r="140" spans="1:10" x14ac:dyDescent="0.25">
      <c r="A140">
        <v>1002760</v>
      </c>
      <c r="B140" s="1" t="s">
        <v>563</v>
      </c>
      <c r="C140" s="1" t="s">
        <v>0</v>
      </c>
      <c r="D140" s="2">
        <v>23080</v>
      </c>
      <c r="E140" s="1" t="s">
        <v>705</v>
      </c>
      <c r="F140" s="1">
        <v>5000267269</v>
      </c>
    </row>
    <row r="141" spans="1:10" x14ac:dyDescent="0.25">
      <c r="A141">
        <v>1002760</v>
      </c>
      <c r="B141" s="1" t="s">
        <v>563</v>
      </c>
      <c r="C141" s="1" t="s">
        <v>0</v>
      </c>
      <c r="D141" s="2">
        <v>23080</v>
      </c>
      <c r="E141" s="1" t="s">
        <v>727</v>
      </c>
      <c r="F141" s="1">
        <v>5000268354</v>
      </c>
    </row>
    <row r="142" spans="1:10" x14ac:dyDescent="0.25">
      <c r="A142">
        <v>1002760</v>
      </c>
      <c r="B142" s="1" t="s">
        <v>563</v>
      </c>
      <c r="C142" s="1" t="s">
        <v>0</v>
      </c>
      <c r="D142" s="2">
        <v>38440</v>
      </c>
      <c r="E142" s="1" t="s">
        <v>727</v>
      </c>
      <c r="F142" s="1">
        <v>5000268354</v>
      </c>
    </row>
    <row r="143" spans="1:10" x14ac:dyDescent="0.25">
      <c r="A143">
        <v>1002760</v>
      </c>
      <c r="B143" s="1" t="s">
        <v>563</v>
      </c>
      <c r="C143" s="1" t="s">
        <v>0</v>
      </c>
      <c r="D143" s="2">
        <v>10500</v>
      </c>
      <c r="E143" s="1" t="s">
        <v>727</v>
      </c>
      <c r="F143" s="1">
        <v>5000268354</v>
      </c>
    </row>
    <row r="144" spans="1:10" x14ac:dyDescent="0.25">
      <c r="A144" s="1"/>
      <c r="B144" s="1"/>
      <c r="C144" s="1"/>
      <c r="D144" s="2">
        <f>SUM(D137:D143)</f>
        <v>1236000</v>
      </c>
      <c r="E144" s="1"/>
      <c r="F144" s="1">
        <f>E146</f>
        <v>43453.125</v>
      </c>
      <c r="G144" s="1"/>
      <c r="H144" s="1"/>
      <c r="I144" s="1"/>
      <c r="J144" s="1"/>
    </row>
    <row r="145" spans="1:10" x14ac:dyDescent="0.25">
      <c r="A145" s="8"/>
      <c r="B145" s="1"/>
      <c r="C145" s="1"/>
      <c r="D145" s="2"/>
      <c r="E145" s="1"/>
      <c r="F145" s="8"/>
      <c r="G145" s="8"/>
      <c r="H145" s="8"/>
      <c r="I145" s="8"/>
      <c r="J145" s="8"/>
    </row>
    <row r="146" spans="1:10" x14ac:dyDescent="0.25">
      <c r="B146" s="1">
        <f>D144/80</f>
        <v>15450</v>
      </c>
      <c r="C146" s="1">
        <f>B146/60</f>
        <v>257.5</v>
      </c>
      <c r="D146" s="1">
        <f>C146/8</f>
        <v>32.1875</v>
      </c>
      <c r="E146" s="1">
        <f>D146*450*3</f>
        <v>43453.125</v>
      </c>
    </row>
    <row r="147" spans="1:10" x14ac:dyDescent="0.25">
      <c r="G147" s="76">
        <f>F144+J131+J121+K114+J101+K72+K48+O48</f>
        <v>175277.51059999983</v>
      </c>
    </row>
  </sheetData>
  <mergeCells count="2">
    <mergeCell ref="G85:J85"/>
    <mergeCell ref="K85:N8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zoomScale="86" zoomScaleNormal="86" workbookViewId="0">
      <selection activeCell="G10" sqref="G10"/>
    </sheetView>
  </sheetViews>
  <sheetFormatPr defaultColWidth="19.7109375" defaultRowHeight="15" x14ac:dyDescent="0.25"/>
  <cols>
    <col min="2" max="2" width="21.5703125" bestFit="1" customWidth="1"/>
    <col min="3" max="3" width="34.5703125" style="29" customWidth="1"/>
    <col min="4" max="4" width="13.85546875" bestFit="1" customWidth="1"/>
    <col min="5" max="5" width="14.140625" customWidth="1"/>
    <col min="6" max="7" width="20.42578125" bestFit="1" customWidth="1"/>
    <col min="8" max="8" width="15.140625" customWidth="1"/>
    <col min="9" max="9" width="24" bestFit="1" customWidth="1"/>
    <col min="10" max="10" width="10.85546875" customWidth="1"/>
  </cols>
  <sheetData>
    <row r="2" spans="2:10" ht="21" x14ac:dyDescent="0.35">
      <c r="B2" s="71" t="s">
        <v>730</v>
      </c>
    </row>
    <row r="3" spans="2:10" ht="27" x14ac:dyDescent="0.25">
      <c r="B3" s="27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ht="27" x14ac:dyDescent="0.25">
      <c r="B4" s="146" t="s">
        <v>568</v>
      </c>
      <c r="C4" s="147" t="s">
        <v>99</v>
      </c>
      <c r="D4" s="148">
        <f>'Nov 2016'!D29</f>
        <v>1194455</v>
      </c>
      <c r="E4" s="149" t="s">
        <v>39</v>
      </c>
      <c r="F4" s="149" t="s">
        <v>100</v>
      </c>
      <c r="G4" s="150"/>
      <c r="H4" s="150">
        <f>'Nov 2016'!K29</f>
        <v>19406.639999999952</v>
      </c>
      <c r="I4" s="151" t="s">
        <v>101</v>
      </c>
      <c r="J4" s="149"/>
    </row>
    <row r="5" spans="2:10" ht="27" x14ac:dyDescent="0.25">
      <c r="B5" s="146" t="s">
        <v>569</v>
      </c>
      <c r="C5" s="147" t="s">
        <v>570</v>
      </c>
      <c r="D5" s="148">
        <f>'Nov 2016'!G21</f>
        <v>1089400</v>
      </c>
      <c r="E5" s="149" t="s">
        <v>39</v>
      </c>
      <c r="F5" s="149" t="s">
        <v>571</v>
      </c>
      <c r="G5" s="150">
        <f>'Nov 2016'!O29</f>
        <v>5544.8000000000084</v>
      </c>
      <c r="H5" s="150"/>
      <c r="I5" s="151" t="s">
        <v>101</v>
      </c>
      <c r="J5" s="149" t="s">
        <v>48</v>
      </c>
    </row>
    <row r="6" spans="2:10" ht="27" x14ac:dyDescent="0.25">
      <c r="B6" s="152" t="s">
        <v>98</v>
      </c>
      <c r="C6" s="147" t="s">
        <v>102</v>
      </c>
      <c r="D6" s="148">
        <f>'Nov 2016'!D45</f>
        <v>6391</v>
      </c>
      <c r="E6" s="149" t="s">
        <v>23</v>
      </c>
      <c r="F6" s="149" t="s">
        <v>103</v>
      </c>
      <c r="G6" s="150"/>
      <c r="H6" s="150">
        <f>'Nov 2016'!K45</f>
        <v>13941.74999999998</v>
      </c>
      <c r="I6" s="151" t="s">
        <v>101</v>
      </c>
      <c r="J6" s="149" t="s">
        <v>48</v>
      </c>
    </row>
    <row r="7" spans="2:10" x14ac:dyDescent="0.25">
      <c r="B7" s="152" t="s">
        <v>299</v>
      </c>
      <c r="C7" s="147" t="s">
        <v>418</v>
      </c>
      <c r="D7" s="148">
        <f>'Nov 2016'!D53</f>
        <v>31500</v>
      </c>
      <c r="E7" s="149" t="s">
        <v>29</v>
      </c>
      <c r="F7" s="149" t="s">
        <v>419</v>
      </c>
      <c r="G7" s="150">
        <f>'Nov 2016'!J53</f>
        <v>12547.5</v>
      </c>
      <c r="H7" s="150"/>
      <c r="I7" s="151" t="s">
        <v>301</v>
      </c>
      <c r="J7" s="149" t="s">
        <v>48</v>
      </c>
    </row>
    <row r="8" spans="2:10" x14ac:dyDescent="0.25">
      <c r="B8" s="153" t="s">
        <v>572</v>
      </c>
      <c r="C8" s="153" t="s">
        <v>47</v>
      </c>
      <c r="D8" s="154">
        <f>'Nov 2016'!D71</f>
        <v>200000</v>
      </c>
      <c r="E8" s="155" t="s">
        <v>29</v>
      </c>
      <c r="F8" s="155" t="s">
        <v>55</v>
      </c>
      <c r="G8" s="156">
        <f>'Nov 2016'!J72</f>
        <v>28880</v>
      </c>
      <c r="H8" s="156"/>
      <c r="I8" s="157" t="s">
        <v>41</v>
      </c>
      <c r="J8" s="155" t="s">
        <v>48</v>
      </c>
    </row>
    <row r="9" spans="2:10" ht="27.75" x14ac:dyDescent="0.25">
      <c r="B9" s="153" t="s">
        <v>575</v>
      </c>
      <c r="C9" s="153" t="s">
        <v>573</v>
      </c>
      <c r="D9" s="154">
        <f>'Nov 2016'!C71</f>
        <v>133500</v>
      </c>
      <c r="E9" s="155" t="s">
        <v>29</v>
      </c>
      <c r="F9" s="155" t="s">
        <v>574</v>
      </c>
      <c r="G9" s="156">
        <f>'Nov 2016'!N72</f>
        <v>11205</v>
      </c>
      <c r="H9" s="156"/>
      <c r="I9" s="157" t="s">
        <v>41</v>
      </c>
      <c r="J9" s="155"/>
    </row>
    <row r="10" spans="2:10" ht="30" x14ac:dyDescent="0.25">
      <c r="B10" s="153" t="s">
        <v>728</v>
      </c>
      <c r="C10" s="153" t="s">
        <v>629</v>
      </c>
      <c r="D10" s="158">
        <f>'Nov 2016'!C130</f>
        <v>242000</v>
      </c>
      <c r="E10" s="155" t="s">
        <v>25</v>
      </c>
      <c r="F10" s="155" t="s">
        <v>578</v>
      </c>
      <c r="G10" s="158">
        <f>'Nov 2016'!J129</f>
        <v>318403.63500000001</v>
      </c>
      <c r="H10" s="158"/>
      <c r="I10" s="159" t="s">
        <v>701</v>
      </c>
      <c r="J10" s="155"/>
    </row>
    <row r="11" spans="2:10" x14ac:dyDescent="0.25">
      <c r="B11" s="160">
        <v>42644</v>
      </c>
      <c r="C11" s="153" t="s">
        <v>646</v>
      </c>
      <c r="D11" s="161">
        <f>'Nov 2016'!D111</f>
        <v>91.63502290875573</v>
      </c>
      <c r="E11" s="155" t="s">
        <v>46</v>
      </c>
      <c r="F11" s="155" t="s">
        <v>303</v>
      </c>
      <c r="G11" s="156"/>
      <c r="H11" s="156">
        <f>'Nov 2016'!F111</f>
        <v>274905.0687262672</v>
      </c>
      <c r="I11" s="157"/>
      <c r="J11" s="155" t="s">
        <v>49</v>
      </c>
    </row>
    <row r="12" spans="2:10" ht="30" x14ac:dyDescent="0.25">
      <c r="B12" s="162" t="s">
        <v>630</v>
      </c>
      <c r="C12" s="153" t="s">
        <v>631</v>
      </c>
      <c r="D12" s="154">
        <f>'Nov 2016'!D90</f>
        <v>1537600</v>
      </c>
      <c r="E12" s="155" t="s">
        <v>25</v>
      </c>
      <c r="F12" s="155" t="s">
        <v>634</v>
      </c>
      <c r="G12" s="156">
        <f>'Nov 2016'!K90</f>
        <v>11809.558000000003</v>
      </c>
      <c r="H12" s="156"/>
      <c r="I12" s="157" t="s">
        <v>633</v>
      </c>
      <c r="J12" s="155" t="s">
        <v>48</v>
      </c>
    </row>
    <row r="13" spans="2:10" x14ac:dyDescent="0.25">
      <c r="B13" s="162" t="s">
        <v>260</v>
      </c>
      <c r="C13" s="153" t="s">
        <v>219</v>
      </c>
      <c r="D13" s="154">
        <f>'Nov 2016'!C120</f>
        <v>321750</v>
      </c>
      <c r="E13" s="155" t="s">
        <v>25</v>
      </c>
      <c r="F13" s="155" t="s">
        <v>297</v>
      </c>
      <c r="G13" s="156">
        <v>11311</v>
      </c>
      <c r="H13" s="156"/>
      <c r="I13" s="157"/>
      <c r="J13" s="155" t="s">
        <v>49</v>
      </c>
    </row>
    <row r="14" spans="2:10" x14ac:dyDescent="0.25">
      <c r="B14" s="162" t="s">
        <v>630</v>
      </c>
      <c r="C14" s="153" t="s">
        <v>640</v>
      </c>
      <c r="D14" s="154">
        <f>'Nov 2016'!D98</f>
        <v>1713.22</v>
      </c>
      <c r="E14" s="155"/>
      <c r="F14" s="155">
        <v>8.64</v>
      </c>
      <c r="G14" s="156">
        <f>'Nov 2016'!J98</f>
        <v>14802.220799999977</v>
      </c>
      <c r="H14" s="156"/>
      <c r="I14" s="157" t="s">
        <v>647</v>
      </c>
      <c r="J14" s="155" t="s">
        <v>48</v>
      </c>
    </row>
    <row r="15" spans="2:10" ht="19.5" x14ac:dyDescent="0.25">
      <c r="B15" s="19"/>
      <c r="C15" s="201" t="s">
        <v>42</v>
      </c>
      <c r="D15" s="202"/>
      <c r="E15" s="31"/>
      <c r="F15" s="31"/>
      <c r="G15" s="93">
        <f>SUM(G4:G14)</f>
        <v>414503.71379999997</v>
      </c>
      <c r="H15" s="93">
        <f>SUM(H4:H14)</f>
        <v>308253.45872626716</v>
      </c>
      <c r="I15" s="94">
        <f>G15+H15</f>
        <v>722757.17252626712</v>
      </c>
      <c r="J15" s="23"/>
    </row>
    <row r="22" spans="3:6" x14ac:dyDescent="0.25">
      <c r="C22"/>
      <c r="D22" s="18"/>
    </row>
    <row r="23" spans="3:6" x14ac:dyDescent="0.25">
      <c r="C23"/>
      <c r="D23" s="18"/>
    </row>
    <row r="27" spans="3:6" x14ac:dyDescent="0.25">
      <c r="D27" s="104"/>
    </row>
    <row r="28" spans="3:6" x14ac:dyDescent="0.25">
      <c r="D28" s="106"/>
    </row>
    <row r="29" spans="3:6" x14ac:dyDescent="0.25">
      <c r="D29" s="104"/>
    </row>
    <row r="30" spans="3:6" x14ac:dyDescent="0.25">
      <c r="D30" s="141"/>
      <c r="F30" s="142"/>
    </row>
    <row r="34" spans="6:6" x14ac:dyDescent="0.25">
      <c r="F34" s="6"/>
    </row>
  </sheetData>
  <mergeCells count="1">
    <mergeCell ref="C15:D1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7"/>
  <sheetViews>
    <sheetView topLeftCell="A52" workbookViewId="0">
      <selection activeCell="A124" sqref="A124:J137"/>
    </sheetView>
  </sheetViews>
  <sheetFormatPr defaultRowHeight="15" x14ac:dyDescent="0.25"/>
  <cols>
    <col min="2" max="2" width="45.85546875" bestFit="1" customWidth="1"/>
    <col min="5" max="5" width="14.140625" bestFit="1" customWidth="1"/>
    <col min="6" max="6" width="12.28515625" bestFit="1" customWidth="1"/>
    <col min="7" max="7" width="12.5703125" bestFit="1" customWidth="1"/>
    <col min="8" max="8" width="13.42578125" bestFit="1" customWidth="1"/>
    <col min="13" max="13" width="12.85546875" bestFit="1" customWidth="1"/>
    <col min="14" max="14" width="10.85546875" customWidth="1"/>
    <col min="15" max="15" width="12" bestFit="1" customWidth="1"/>
  </cols>
  <sheetData>
    <row r="3" spans="1:15" x14ac:dyDescent="0.25">
      <c r="A3" t="s">
        <v>656</v>
      </c>
    </row>
    <row r="4" spans="1:15" x14ac:dyDescent="0.25">
      <c r="A4" s="1" t="s">
        <v>167</v>
      </c>
      <c r="B4" s="1" t="s">
        <v>169</v>
      </c>
      <c r="C4" s="1"/>
      <c r="D4" s="1" t="s">
        <v>22</v>
      </c>
      <c r="E4" s="1" t="s">
        <v>593</v>
      </c>
      <c r="F4" s="1" t="s">
        <v>592</v>
      </c>
      <c r="G4" s="1" t="s">
        <v>567</v>
      </c>
      <c r="H4" s="1" t="s">
        <v>50</v>
      </c>
      <c r="I4" s="1" t="s">
        <v>466</v>
      </c>
      <c r="J4" s="1" t="s">
        <v>52</v>
      </c>
      <c r="K4" s="1" t="s">
        <v>21</v>
      </c>
      <c r="L4" s="4" t="s">
        <v>506</v>
      </c>
      <c r="M4" s="4" t="s">
        <v>507</v>
      </c>
      <c r="N4" s="1" t="s">
        <v>505</v>
      </c>
      <c r="O4" s="1" t="s">
        <v>504</v>
      </c>
    </row>
    <row r="5" spans="1:15" x14ac:dyDescent="0.25">
      <c r="A5" s="1">
        <v>1002947</v>
      </c>
      <c r="B5" s="1" t="s">
        <v>474</v>
      </c>
      <c r="C5" s="1" t="s">
        <v>39</v>
      </c>
      <c r="D5" s="2">
        <v>23725</v>
      </c>
      <c r="E5" s="1" t="s">
        <v>657</v>
      </c>
      <c r="F5" s="1">
        <v>5000261347</v>
      </c>
      <c r="G5" s="2">
        <v>23725</v>
      </c>
      <c r="H5" s="3">
        <v>134.5</v>
      </c>
      <c r="I5" s="3">
        <v>139.41999999999999</v>
      </c>
      <c r="J5" s="3">
        <f t="shared" ref="J5:J27" si="0">I5-H5</f>
        <v>4.9199999999999875</v>
      </c>
      <c r="K5" s="3">
        <f>J5*D5/325</f>
        <v>359.15999999999912</v>
      </c>
      <c r="L5" s="3">
        <v>266</v>
      </c>
      <c r="M5" s="1">
        <f>H5*2</f>
        <v>269</v>
      </c>
      <c r="N5" s="3">
        <f>M5-L5</f>
        <v>3</v>
      </c>
      <c r="O5" s="1">
        <f>N5/650*D5</f>
        <v>109.50000000000001</v>
      </c>
    </row>
    <row r="6" spans="1:15" x14ac:dyDescent="0.25">
      <c r="A6" s="1">
        <v>1002947</v>
      </c>
      <c r="B6" s="1" t="s">
        <v>474</v>
      </c>
      <c r="C6" s="1" t="s">
        <v>39</v>
      </c>
      <c r="D6" s="2">
        <v>38675</v>
      </c>
      <c r="E6" s="1" t="s">
        <v>658</v>
      </c>
      <c r="F6" s="1">
        <v>5000261102</v>
      </c>
      <c r="G6" s="2">
        <v>38675</v>
      </c>
      <c r="H6" s="3">
        <v>134.5</v>
      </c>
      <c r="I6" s="3">
        <v>139.41999999999999</v>
      </c>
      <c r="J6" s="3">
        <f t="shared" si="0"/>
        <v>4.9199999999999875</v>
      </c>
      <c r="K6" s="3">
        <f t="shared" ref="K6:K11" si="1">J6*D6/325</f>
        <v>585.47999999999843</v>
      </c>
      <c r="L6" s="3">
        <v>266</v>
      </c>
      <c r="M6" s="1">
        <f t="shared" ref="M6:M20" si="2">H6*2</f>
        <v>269</v>
      </c>
      <c r="N6" s="3">
        <f t="shared" ref="N6:N20" si="3">M6-L6</f>
        <v>3</v>
      </c>
      <c r="O6" s="1">
        <f t="shared" ref="O6:O11" si="4">N6/650*D6</f>
        <v>178.50000000000003</v>
      </c>
    </row>
    <row r="7" spans="1:15" x14ac:dyDescent="0.25">
      <c r="A7" s="1">
        <v>1002947</v>
      </c>
      <c r="B7" s="1" t="s">
        <v>474</v>
      </c>
      <c r="C7" s="1" t="s">
        <v>39</v>
      </c>
      <c r="D7" s="2">
        <v>93600</v>
      </c>
      <c r="E7" s="1" t="s">
        <v>659</v>
      </c>
      <c r="F7" s="1">
        <v>5000259759</v>
      </c>
      <c r="G7" s="2">
        <v>93600</v>
      </c>
      <c r="H7" s="3">
        <v>134.5</v>
      </c>
      <c r="I7" s="3">
        <v>139.41999999999999</v>
      </c>
      <c r="J7" s="3">
        <f t="shared" si="0"/>
        <v>4.9199999999999875</v>
      </c>
      <c r="K7" s="3">
        <f t="shared" si="1"/>
        <v>1416.9599999999964</v>
      </c>
      <c r="L7" s="3">
        <v>266</v>
      </c>
      <c r="M7" s="1">
        <f t="shared" si="2"/>
        <v>269</v>
      </c>
      <c r="N7" s="3">
        <f t="shared" si="3"/>
        <v>3</v>
      </c>
      <c r="O7" s="1">
        <f t="shared" si="4"/>
        <v>432.00000000000006</v>
      </c>
    </row>
    <row r="8" spans="1:15" x14ac:dyDescent="0.25">
      <c r="A8" s="1">
        <v>1002947</v>
      </c>
      <c r="B8" s="1" t="s">
        <v>474</v>
      </c>
      <c r="C8" s="1" t="s">
        <v>39</v>
      </c>
      <c r="D8" s="2">
        <v>202800</v>
      </c>
      <c r="E8" s="1" t="s">
        <v>660</v>
      </c>
      <c r="F8" s="1">
        <v>5000258270</v>
      </c>
      <c r="G8" s="2">
        <v>202800</v>
      </c>
      <c r="H8" s="3">
        <v>134.5</v>
      </c>
      <c r="I8" s="3">
        <v>139.41999999999999</v>
      </c>
      <c r="J8" s="3">
        <f t="shared" si="0"/>
        <v>4.9199999999999875</v>
      </c>
      <c r="K8" s="3">
        <f t="shared" si="1"/>
        <v>3070.0799999999922</v>
      </c>
      <c r="L8" s="3">
        <v>266</v>
      </c>
      <c r="M8" s="1">
        <f t="shared" si="2"/>
        <v>269</v>
      </c>
      <c r="N8" s="3">
        <f t="shared" si="3"/>
        <v>3</v>
      </c>
      <c r="O8" s="1">
        <f t="shared" si="4"/>
        <v>936.00000000000011</v>
      </c>
    </row>
    <row r="9" spans="1:15" x14ac:dyDescent="0.25">
      <c r="A9" s="1">
        <v>1002947</v>
      </c>
      <c r="B9" s="1" t="s">
        <v>474</v>
      </c>
      <c r="C9" s="1" t="s">
        <v>39</v>
      </c>
      <c r="D9" s="2">
        <v>202800</v>
      </c>
      <c r="E9" s="1" t="s">
        <v>660</v>
      </c>
      <c r="F9" s="1">
        <v>5000258118</v>
      </c>
      <c r="G9" s="2">
        <v>202800</v>
      </c>
      <c r="H9" s="3">
        <v>134.5</v>
      </c>
      <c r="I9" s="3">
        <v>139.41999999999999</v>
      </c>
      <c r="J9" s="3">
        <f t="shared" si="0"/>
        <v>4.9199999999999875</v>
      </c>
      <c r="K9" s="3">
        <f t="shared" si="1"/>
        <v>3070.0799999999922</v>
      </c>
      <c r="L9" s="3">
        <v>266</v>
      </c>
      <c r="M9" s="1">
        <f t="shared" si="2"/>
        <v>269</v>
      </c>
      <c r="N9" s="3">
        <f t="shared" si="3"/>
        <v>3</v>
      </c>
      <c r="O9" s="1">
        <f t="shared" si="4"/>
        <v>936.00000000000011</v>
      </c>
    </row>
    <row r="10" spans="1:15" x14ac:dyDescent="0.25">
      <c r="A10" s="1">
        <v>1002947</v>
      </c>
      <c r="B10" s="1" t="s">
        <v>474</v>
      </c>
      <c r="C10" s="1" t="s">
        <v>39</v>
      </c>
      <c r="D10" s="2">
        <v>14950</v>
      </c>
      <c r="E10" s="1" t="s">
        <v>661</v>
      </c>
      <c r="F10" s="1">
        <v>5000257215</v>
      </c>
      <c r="G10" s="2">
        <v>14950</v>
      </c>
      <c r="H10" s="3">
        <v>134.5</v>
      </c>
      <c r="I10" s="3">
        <v>139.41999999999999</v>
      </c>
      <c r="J10" s="3">
        <f t="shared" si="0"/>
        <v>4.9199999999999875</v>
      </c>
      <c r="K10" s="3">
        <f t="shared" si="1"/>
        <v>226.31999999999942</v>
      </c>
      <c r="L10" s="3">
        <v>266</v>
      </c>
      <c r="M10" s="1">
        <f t="shared" si="2"/>
        <v>269</v>
      </c>
      <c r="N10" s="3">
        <f t="shared" si="3"/>
        <v>3</v>
      </c>
      <c r="O10" s="1">
        <f t="shared" si="4"/>
        <v>69</v>
      </c>
    </row>
    <row r="11" spans="1:15" x14ac:dyDescent="0.25">
      <c r="A11" s="1">
        <v>1002947</v>
      </c>
      <c r="B11" s="1" t="s">
        <v>474</v>
      </c>
      <c r="C11" s="1" t="s">
        <v>39</v>
      </c>
      <c r="D11" s="2">
        <v>14950</v>
      </c>
      <c r="E11" s="1" t="s">
        <v>661</v>
      </c>
      <c r="F11" s="1">
        <v>5000257178</v>
      </c>
      <c r="G11" s="2">
        <v>14950</v>
      </c>
      <c r="H11" s="3">
        <v>134.5</v>
      </c>
      <c r="I11" s="3">
        <v>139.41999999999999</v>
      </c>
      <c r="J11" s="3">
        <f t="shared" si="0"/>
        <v>4.9199999999999875</v>
      </c>
      <c r="K11" s="3">
        <f t="shared" si="1"/>
        <v>226.31999999999942</v>
      </c>
      <c r="L11" s="3">
        <v>266</v>
      </c>
      <c r="M11" s="1">
        <f t="shared" si="2"/>
        <v>269</v>
      </c>
      <c r="N11" s="3">
        <f t="shared" si="3"/>
        <v>3</v>
      </c>
      <c r="O11" s="1">
        <f t="shared" si="4"/>
        <v>69</v>
      </c>
    </row>
    <row r="12" spans="1:15" x14ac:dyDescent="0.25">
      <c r="A12" s="1">
        <v>1003043</v>
      </c>
      <c r="B12" s="1" t="s">
        <v>543</v>
      </c>
      <c r="C12" s="1" t="s">
        <v>39</v>
      </c>
      <c r="D12" s="2">
        <v>109850</v>
      </c>
      <c r="E12" s="1" t="s">
        <v>662</v>
      </c>
      <c r="F12" s="1">
        <v>5000260569</v>
      </c>
      <c r="G12" s="2">
        <v>109850</v>
      </c>
      <c r="H12" s="3">
        <v>161.4</v>
      </c>
      <c r="I12" s="3">
        <v>167.54</v>
      </c>
      <c r="J12" s="3">
        <f t="shared" si="0"/>
        <v>6.1399999999999864</v>
      </c>
      <c r="K12" s="3">
        <f>J12*D12/325</f>
        <v>2075.3199999999952</v>
      </c>
      <c r="L12" s="3">
        <v>319</v>
      </c>
      <c r="M12" s="1">
        <f t="shared" si="2"/>
        <v>322.8</v>
      </c>
      <c r="N12" s="3">
        <f t="shared" si="3"/>
        <v>3.8000000000000114</v>
      </c>
      <c r="O12" s="1">
        <f>N12/650*D12</f>
        <v>642.20000000000198</v>
      </c>
    </row>
    <row r="13" spans="1:15" x14ac:dyDescent="0.25">
      <c r="A13" s="1">
        <v>1001544</v>
      </c>
      <c r="B13" s="1" t="s">
        <v>589</v>
      </c>
      <c r="C13" s="1" t="s">
        <v>39</v>
      </c>
      <c r="D13" s="2">
        <v>11050</v>
      </c>
      <c r="E13" s="1" t="s">
        <v>658</v>
      </c>
      <c r="F13" s="1">
        <v>5000261102</v>
      </c>
      <c r="G13" s="2">
        <v>11050</v>
      </c>
      <c r="H13" s="1">
        <v>161.4</v>
      </c>
      <c r="I13" s="40">
        <v>167.54</v>
      </c>
      <c r="J13" s="3">
        <f t="shared" si="0"/>
        <v>6.1399999999999864</v>
      </c>
      <c r="K13" s="1">
        <f>J13*D13/325</f>
        <v>208.75999999999956</v>
      </c>
      <c r="L13" s="3">
        <v>319</v>
      </c>
      <c r="M13" s="1">
        <f t="shared" si="2"/>
        <v>322.8</v>
      </c>
      <c r="N13" s="3">
        <f t="shared" si="3"/>
        <v>3.8000000000000114</v>
      </c>
      <c r="O13" s="1">
        <f>N13/650*D13</f>
        <v>64.600000000000193</v>
      </c>
    </row>
    <row r="14" spans="1:15" x14ac:dyDescent="0.25">
      <c r="A14" s="1">
        <v>1001544</v>
      </c>
      <c r="B14" s="1" t="s">
        <v>589</v>
      </c>
      <c r="C14" s="1" t="s">
        <v>39</v>
      </c>
      <c r="D14" s="2">
        <v>66300</v>
      </c>
      <c r="E14" s="1" t="s">
        <v>658</v>
      </c>
      <c r="F14" s="1">
        <v>5000261102</v>
      </c>
      <c r="G14" s="2">
        <v>66300</v>
      </c>
      <c r="H14" s="3">
        <v>161.4</v>
      </c>
      <c r="I14" s="3">
        <v>167.54</v>
      </c>
      <c r="J14" s="3">
        <f t="shared" si="0"/>
        <v>6.1399999999999864</v>
      </c>
      <c r="K14" s="3">
        <f t="shared" ref="K14:K20" si="5">J14*D14/325</f>
        <v>1252.5599999999972</v>
      </c>
      <c r="L14" s="3">
        <v>319</v>
      </c>
      <c r="M14" s="1">
        <f t="shared" si="2"/>
        <v>322.8</v>
      </c>
      <c r="N14" s="3">
        <f t="shared" si="3"/>
        <v>3.8000000000000114</v>
      </c>
      <c r="O14" s="1">
        <f t="shared" ref="O14:O20" si="6">N14/650*D14</f>
        <v>387.60000000000116</v>
      </c>
    </row>
    <row r="15" spans="1:15" x14ac:dyDescent="0.25">
      <c r="A15" s="1">
        <v>1001544</v>
      </c>
      <c r="B15" s="1" t="s">
        <v>589</v>
      </c>
      <c r="C15" s="1" t="s">
        <v>39</v>
      </c>
      <c r="D15" s="2">
        <v>24700</v>
      </c>
      <c r="E15" s="1" t="s">
        <v>659</v>
      </c>
      <c r="F15" s="1">
        <v>5000259759</v>
      </c>
      <c r="G15" s="2">
        <v>24700</v>
      </c>
      <c r="H15" s="3">
        <v>161.4</v>
      </c>
      <c r="I15" s="3">
        <v>167.54</v>
      </c>
      <c r="J15" s="3">
        <f t="shared" si="0"/>
        <v>6.1399999999999864</v>
      </c>
      <c r="K15" s="3">
        <f t="shared" si="5"/>
        <v>466.63999999999891</v>
      </c>
      <c r="L15" s="3">
        <v>319</v>
      </c>
      <c r="M15" s="1">
        <f t="shared" si="2"/>
        <v>322.8</v>
      </c>
      <c r="N15" s="3">
        <f t="shared" si="3"/>
        <v>3.8000000000000114</v>
      </c>
      <c r="O15" s="1">
        <f t="shared" si="6"/>
        <v>144.40000000000043</v>
      </c>
    </row>
    <row r="16" spans="1:15" x14ac:dyDescent="0.25">
      <c r="A16" s="1">
        <v>1001544</v>
      </c>
      <c r="B16" s="1" t="s">
        <v>589</v>
      </c>
      <c r="C16" s="1" t="s">
        <v>39</v>
      </c>
      <c r="D16" s="2">
        <v>143000</v>
      </c>
      <c r="E16" s="1" t="s">
        <v>661</v>
      </c>
      <c r="F16" s="1">
        <v>5000257178</v>
      </c>
      <c r="G16" s="2">
        <v>143000</v>
      </c>
      <c r="H16" s="3">
        <v>161.4</v>
      </c>
      <c r="I16" s="3">
        <v>167.54</v>
      </c>
      <c r="J16" s="3">
        <f t="shared" si="0"/>
        <v>6.1399999999999864</v>
      </c>
      <c r="K16" s="3">
        <f t="shared" si="5"/>
        <v>2701.599999999994</v>
      </c>
      <c r="L16" s="3">
        <v>319</v>
      </c>
      <c r="M16" s="1">
        <f t="shared" si="2"/>
        <v>322.8</v>
      </c>
      <c r="N16" s="3">
        <f t="shared" si="3"/>
        <v>3.8000000000000114</v>
      </c>
      <c r="O16" s="1">
        <f t="shared" si="6"/>
        <v>836.0000000000025</v>
      </c>
    </row>
    <row r="17" spans="1:15" x14ac:dyDescent="0.25">
      <c r="A17" s="1">
        <v>1001948</v>
      </c>
      <c r="B17" s="1" t="s">
        <v>110</v>
      </c>
      <c r="C17" s="1" t="s">
        <v>39</v>
      </c>
      <c r="D17" s="2">
        <v>41600</v>
      </c>
      <c r="E17" s="1" t="s">
        <v>659</v>
      </c>
      <c r="F17" s="1">
        <v>5000259759</v>
      </c>
      <c r="G17" s="2">
        <v>41600</v>
      </c>
      <c r="H17" s="3">
        <v>161.4</v>
      </c>
      <c r="I17" s="3">
        <v>167.54</v>
      </c>
      <c r="J17" s="3">
        <f t="shared" si="0"/>
        <v>6.1399999999999864</v>
      </c>
      <c r="K17" s="3">
        <f t="shared" si="5"/>
        <v>785.91999999999825</v>
      </c>
      <c r="L17" s="3">
        <v>319</v>
      </c>
      <c r="M17" s="1">
        <f t="shared" si="2"/>
        <v>322.8</v>
      </c>
      <c r="N17" s="3">
        <f t="shared" si="3"/>
        <v>3.8000000000000114</v>
      </c>
      <c r="O17" s="1">
        <f t="shared" si="6"/>
        <v>243.20000000000073</v>
      </c>
    </row>
    <row r="18" spans="1:15" x14ac:dyDescent="0.25">
      <c r="A18" s="1">
        <v>1001948</v>
      </c>
      <c r="B18" s="1" t="s">
        <v>110</v>
      </c>
      <c r="C18" s="1" t="s">
        <v>39</v>
      </c>
      <c r="D18" s="2">
        <v>23400</v>
      </c>
      <c r="E18" s="1" t="s">
        <v>659</v>
      </c>
      <c r="F18" s="1">
        <v>5000259759</v>
      </c>
      <c r="G18" s="2">
        <v>23400</v>
      </c>
      <c r="H18" s="3">
        <v>161.4</v>
      </c>
      <c r="I18" s="3">
        <v>167.54</v>
      </c>
      <c r="J18" s="3">
        <f t="shared" si="0"/>
        <v>6.1399999999999864</v>
      </c>
      <c r="K18" s="3">
        <f t="shared" si="5"/>
        <v>442.07999999999902</v>
      </c>
      <c r="L18" s="3">
        <v>319</v>
      </c>
      <c r="M18" s="1">
        <f t="shared" si="2"/>
        <v>322.8</v>
      </c>
      <c r="N18" s="3">
        <f t="shared" si="3"/>
        <v>3.8000000000000114</v>
      </c>
      <c r="O18" s="1">
        <f t="shared" si="6"/>
        <v>136.80000000000041</v>
      </c>
    </row>
    <row r="19" spans="1:15" x14ac:dyDescent="0.25">
      <c r="A19" s="1">
        <v>1000090</v>
      </c>
      <c r="B19" s="1" t="s">
        <v>112</v>
      </c>
      <c r="C19" s="1" t="s">
        <v>39</v>
      </c>
      <c r="D19" s="2">
        <v>66350</v>
      </c>
      <c r="E19" s="1" t="s">
        <v>658</v>
      </c>
      <c r="F19" s="1">
        <v>5000261102</v>
      </c>
      <c r="G19" s="2">
        <v>66350</v>
      </c>
      <c r="H19" s="3">
        <v>134.5</v>
      </c>
      <c r="I19" s="3">
        <v>139.41999999999999</v>
      </c>
      <c r="J19" s="3">
        <f t="shared" si="0"/>
        <v>4.9199999999999875</v>
      </c>
      <c r="K19" s="3">
        <f t="shared" si="5"/>
        <v>1004.4369230769206</v>
      </c>
      <c r="L19" s="3">
        <v>266</v>
      </c>
      <c r="M19" s="1">
        <f t="shared" si="2"/>
        <v>269</v>
      </c>
      <c r="N19" s="3">
        <f t="shared" si="3"/>
        <v>3</v>
      </c>
      <c r="O19" s="1">
        <f t="shared" si="6"/>
        <v>306.23076923076928</v>
      </c>
    </row>
    <row r="20" spans="1:15" x14ac:dyDescent="0.25">
      <c r="A20" s="1">
        <v>1000090</v>
      </c>
      <c r="B20" s="1" t="s">
        <v>112</v>
      </c>
      <c r="C20" s="1" t="s">
        <v>39</v>
      </c>
      <c r="D20" s="2">
        <v>11650</v>
      </c>
      <c r="E20" s="1" t="s">
        <v>658</v>
      </c>
      <c r="F20" s="1">
        <v>5000261102</v>
      </c>
      <c r="G20" s="2">
        <v>11650</v>
      </c>
      <c r="H20" s="3">
        <v>134.5</v>
      </c>
      <c r="I20" s="3">
        <v>139.41999999999999</v>
      </c>
      <c r="J20" s="3">
        <f t="shared" si="0"/>
        <v>4.9199999999999875</v>
      </c>
      <c r="K20" s="3">
        <f t="shared" si="5"/>
        <v>176.36307692307648</v>
      </c>
      <c r="L20" s="3">
        <v>266</v>
      </c>
      <c r="M20" s="1">
        <f t="shared" si="2"/>
        <v>269</v>
      </c>
      <c r="N20" s="3">
        <f t="shared" si="3"/>
        <v>3</v>
      </c>
      <c r="O20" s="1">
        <f t="shared" si="6"/>
        <v>53.769230769230774</v>
      </c>
    </row>
    <row r="21" spans="1:15" x14ac:dyDescent="0.25">
      <c r="A21" s="1">
        <v>1000065</v>
      </c>
      <c r="B21" s="1" t="s">
        <v>80</v>
      </c>
      <c r="C21" s="1" t="s">
        <v>39</v>
      </c>
      <c r="D21" s="2">
        <v>20685</v>
      </c>
      <c r="E21" s="1" t="s">
        <v>660</v>
      </c>
      <c r="F21" s="1">
        <v>5000258118</v>
      </c>
      <c r="G21" s="2">
        <f>SUM(G5:G20)</f>
        <v>1089400</v>
      </c>
      <c r="H21" s="3">
        <v>41.3</v>
      </c>
      <c r="I21" s="3">
        <v>43.38</v>
      </c>
      <c r="J21" s="3">
        <f t="shared" si="0"/>
        <v>2.0800000000000054</v>
      </c>
      <c r="K21" s="3">
        <f>J21*D21/130</f>
        <v>330.96000000000089</v>
      </c>
      <c r="L21" s="1"/>
      <c r="M21" s="1"/>
      <c r="N21" s="1"/>
      <c r="O21" s="1"/>
    </row>
    <row r="22" spans="1:15" x14ac:dyDescent="0.25">
      <c r="A22" s="1">
        <v>1000074</v>
      </c>
      <c r="B22" s="1" t="s">
        <v>81</v>
      </c>
      <c r="C22" s="1" t="s">
        <v>39</v>
      </c>
      <c r="D22" s="2">
        <v>20800</v>
      </c>
      <c r="E22" s="1" t="s">
        <v>660</v>
      </c>
      <c r="F22" s="1">
        <v>5000258118</v>
      </c>
      <c r="G22" s="1"/>
      <c r="H22" s="3">
        <v>41.3</v>
      </c>
      <c r="I22" s="3">
        <v>43.38</v>
      </c>
      <c r="J22" s="3">
        <f t="shared" si="0"/>
        <v>2.0800000000000054</v>
      </c>
      <c r="K22" s="3">
        <f t="shared" ref="K22:K23" si="7">J22*D22/130</f>
        <v>332.80000000000086</v>
      </c>
      <c r="L22" s="1"/>
      <c r="M22" s="1"/>
      <c r="N22" s="1"/>
      <c r="O22" s="1"/>
    </row>
    <row r="23" spans="1:15" x14ac:dyDescent="0.25">
      <c r="A23" s="1">
        <v>1001761</v>
      </c>
      <c r="B23" s="1" t="s">
        <v>193</v>
      </c>
      <c r="C23" s="1" t="s">
        <v>39</v>
      </c>
      <c r="D23" s="2">
        <v>13000</v>
      </c>
      <c r="E23" s="1" t="s">
        <v>660</v>
      </c>
      <c r="F23" s="1">
        <v>5000258118</v>
      </c>
      <c r="G23" s="1"/>
      <c r="H23" s="3">
        <v>41.3</v>
      </c>
      <c r="I23" s="3">
        <v>43.38</v>
      </c>
      <c r="J23" s="3">
        <f t="shared" si="0"/>
        <v>2.0800000000000054</v>
      </c>
      <c r="K23" s="3">
        <f t="shared" si="7"/>
        <v>208.00000000000054</v>
      </c>
      <c r="L23" s="1"/>
      <c r="M23" s="1"/>
      <c r="N23" s="1"/>
      <c r="O23" s="1"/>
    </row>
    <row r="24" spans="1:15" x14ac:dyDescent="0.25">
      <c r="A24" s="1">
        <v>1000044</v>
      </c>
      <c r="B24" s="1" t="s">
        <v>269</v>
      </c>
      <c r="C24" s="1" t="s">
        <v>39</v>
      </c>
      <c r="D24" s="2">
        <v>11700</v>
      </c>
      <c r="E24" s="1" t="s">
        <v>660</v>
      </c>
      <c r="F24" s="1">
        <v>5000258118</v>
      </c>
      <c r="G24" s="1"/>
      <c r="H24" s="3">
        <v>150</v>
      </c>
      <c r="I24" s="3">
        <v>153</v>
      </c>
      <c r="J24" s="3">
        <f t="shared" si="0"/>
        <v>3</v>
      </c>
      <c r="K24" s="3">
        <f>J24*D24/325</f>
        <v>108</v>
      </c>
      <c r="L24" s="1"/>
      <c r="M24" s="1"/>
      <c r="N24" s="1"/>
      <c r="O24" s="1"/>
    </row>
    <row r="25" spans="1:15" x14ac:dyDescent="0.25">
      <c r="A25" s="1">
        <v>1000055</v>
      </c>
      <c r="B25" s="1" t="s">
        <v>538</v>
      </c>
      <c r="C25" s="1" t="s">
        <v>39</v>
      </c>
      <c r="D25" s="2">
        <v>11700</v>
      </c>
      <c r="E25" s="1" t="s">
        <v>660</v>
      </c>
      <c r="F25" s="1">
        <v>5000258118</v>
      </c>
      <c r="G25" s="1"/>
      <c r="H25" s="3">
        <v>150</v>
      </c>
      <c r="I25" s="3">
        <v>153</v>
      </c>
      <c r="J25" s="3">
        <f t="shared" si="0"/>
        <v>3</v>
      </c>
      <c r="K25" s="3">
        <f t="shared" ref="K25:K27" si="8">J25*D25/325</f>
        <v>108</v>
      </c>
      <c r="L25" s="1"/>
      <c r="M25" s="1"/>
      <c r="N25" s="1"/>
      <c r="O25" s="1"/>
    </row>
    <row r="26" spans="1:15" x14ac:dyDescent="0.25">
      <c r="A26" s="1">
        <v>1002652</v>
      </c>
      <c r="B26" s="1" t="s">
        <v>196</v>
      </c>
      <c r="C26" s="1" t="s">
        <v>39</v>
      </c>
      <c r="D26" s="2">
        <v>13520</v>
      </c>
      <c r="E26" s="1" t="s">
        <v>660</v>
      </c>
      <c r="F26" s="1">
        <v>5000258118</v>
      </c>
      <c r="G26" s="1"/>
      <c r="H26" s="3">
        <v>150</v>
      </c>
      <c r="I26" s="3">
        <v>153</v>
      </c>
      <c r="J26" s="3">
        <f t="shared" si="0"/>
        <v>3</v>
      </c>
      <c r="K26" s="3">
        <f t="shared" si="8"/>
        <v>124.8</v>
      </c>
      <c r="L26" s="1"/>
      <c r="M26" s="1"/>
      <c r="N26" s="1"/>
      <c r="O26" s="1"/>
    </row>
    <row r="27" spans="1:15" x14ac:dyDescent="0.25">
      <c r="A27" s="1">
        <v>1002651</v>
      </c>
      <c r="B27" s="1" t="s">
        <v>195</v>
      </c>
      <c r="C27" s="1" t="s">
        <v>39</v>
      </c>
      <c r="D27" s="2">
        <v>13650</v>
      </c>
      <c r="E27" s="1" t="s">
        <v>660</v>
      </c>
      <c r="F27" s="1">
        <v>5000258118</v>
      </c>
      <c r="G27" s="1"/>
      <c r="H27" s="3">
        <v>150</v>
      </c>
      <c r="I27" s="3">
        <v>153</v>
      </c>
      <c r="J27" s="3">
        <f t="shared" si="0"/>
        <v>3</v>
      </c>
      <c r="K27" s="3">
        <f t="shared" si="8"/>
        <v>126</v>
      </c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/>
      <c r="D29" s="2">
        <f>SUM(D5:D28)</f>
        <v>1194455</v>
      </c>
      <c r="E29" s="1"/>
      <c r="F29" s="1"/>
      <c r="G29" s="1"/>
      <c r="H29" s="1"/>
      <c r="I29" s="1"/>
      <c r="J29" s="1" t="s">
        <v>58</v>
      </c>
      <c r="K29" s="3">
        <f>SUM(K5:K27)</f>
        <v>19406.639999999952</v>
      </c>
      <c r="L29" s="1"/>
      <c r="M29" s="1"/>
      <c r="N29" s="1"/>
      <c r="O29" s="3">
        <f>SUM(O5:O27)</f>
        <v>5544.8000000000084</v>
      </c>
    </row>
    <row r="31" spans="1:15" x14ac:dyDescent="0.25">
      <c r="A31" t="s">
        <v>663</v>
      </c>
    </row>
    <row r="32" spans="1:15" x14ac:dyDescent="0.25">
      <c r="A32" s="1" t="s">
        <v>438</v>
      </c>
      <c r="B32" s="1" t="s">
        <v>169</v>
      </c>
      <c r="C32" s="1"/>
      <c r="D32" s="1" t="s">
        <v>38</v>
      </c>
      <c r="E32" s="1" t="s">
        <v>594</v>
      </c>
      <c r="F32" s="1" t="s">
        <v>172</v>
      </c>
      <c r="G32" s="1"/>
      <c r="H32" s="1" t="s">
        <v>276</v>
      </c>
      <c r="I32" s="1" t="s">
        <v>170</v>
      </c>
      <c r="J32" s="1" t="s">
        <v>52</v>
      </c>
      <c r="K32" s="1" t="s">
        <v>21</v>
      </c>
      <c r="L32" s="1"/>
      <c r="M32" s="1"/>
      <c r="N32" s="1"/>
    </row>
    <row r="33" spans="1:14" x14ac:dyDescent="0.25">
      <c r="A33" s="1">
        <v>1000538</v>
      </c>
      <c r="B33" s="1" t="s">
        <v>88</v>
      </c>
      <c r="C33" s="1" t="s">
        <v>392</v>
      </c>
      <c r="D33" s="1">
        <v>430</v>
      </c>
      <c r="E33" s="1" t="s">
        <v>658</v>
      </c>
      <c r="F33" s="1">
        <v>5000261089</v>
      </c>
      <c r="G33" s="1">
        <v>103</v>
      </c>
      <c r="H33" s="1">
        <v>72.5</v>
      </c>
      <c r="I33" s="1">
        <v>75.349999999999994</v>
      </c>
      <c r="J33" s="1">
        <f>I33-H33</f>
        <v>2.8499999999999943</v>
      </c>
      <c r="K33" s="1">
        <f>D33*J33</f>
        <v>1225.4999999999975</v>
      </c>
      <c r="L33" s="1"/>
      <c r="M33" s="1"/>
      <c r="N33" s="1"/>
    </row>
    <row r="34" spans="1:14" x14ac:dyDescent="0.25">
      <c r="A34" s="1">
        <v>1000538</v>
      </c>
      <c r="B34" s="1" t="s">
        <v>88</v>
      </c>
      <c r="C34" s="1" t="s">
        <v>392</v>
      </c>
      <c r="D34" s="1">
        <v>162</v>
      </c>
      <c r="E34" s="1" t="s">
        <v>658</v>
      </c>
      <c r="F34" s="1">
        <v>5000261089</v>
      </c>
      <c r="G34" s="1">
        <v>103</v>
      </c>
      <c r="H34" s="1">
        <v>72.5</v>
      </c>
      <c r="I34" s="1">
        <v>75.349999999999994</v>
      </c>
      <c r="J34" s="1">
        <f t="shared" ref="J34:J39" si="9">I34-H34</f>
        <v>2.8499999999999943</v>
      </c>
      <c r="K34" s="1">
        <f t="shared" ref="K34:K36" si="10">D34*J34</f>
        <v>461.69999999999908</v>
      </c>
      <c r="L34" s="1"/>
      <c r="M34" s="1"/>
      <c r="N34" s="1"/>
    </row>
    <row r="35" spans="1:14" x14ac:dyDescent="0.25">
      <c r="A35" s="1">
        <v>1000538</v>
      </c>
      <c r="B35" s="1" t="s">
        <v>88</v>
      </c>
      <c r="C35" s="1" t="s">
        <v>392</v>
      </c>
      <c r="D35" s="1">
        <v>426</v>
      </c>
      <c r="E35" s="1" t="s">
        <v>662</v>
      </c>
      <c r="F35" s="1">
        <v>5000260513</v>
      </c>
      <c r="G35" s="1">
        <v>103</v>
      </c>
      <c r="H35" s="1">
        <v>72.5</v>
      </c>
      <c r="I35" s="1">
        <v>75.349999999999994</v>
      </c>
      <c r="J35" s="1">
        <f t="shared" si="9"/>
        <v>2.8499999999999943</v>
      </c>
      <c r="K35" s="1">
        <f t="shared" si="10"/>
        <v>1214.0999999999976</v>
      </c>
      <c r="L35" s="1"/>
      <c r="M35" s="1"/>
      <c r="N35" s="1"/>
    </row>
    <row r="36" spans="1:14" x14ac:dyDescent="0.25">
      <c r="A36" s="1">
        <v>1000719</v>
      </c>
      <c r="B36" s="1" t="s">
        <v>484</v>
      </c>
      <c r="C36" s="1" t="s">
        <v>392</v>
      </c>
      <c r="D36" s="2">
        <v>2412</v>
      </c>
      <c r="E36" s="1" t="s">
        <v>662</v>
      </c>
      <c r="F36" s="1">
        <v>5000260513</v>
      </c>
      <c r="G36" s="1">
        <v>103</v>
      </c>
      <c r="H36" s="1">
        <v>72.5</v>
      </c>
      <c r="I36" s="1">
        <v>75.349999999999994</v>
      </c>
      <c r="J36" s="1">
        <f t="shared" si="9"/>
        <v>2.8499999999999943</v>
      </c>
      <c r="K36" s="1">
        <f t="shared" si="10"/>
        <v>6874.1999999999862</v>
      </c>
      <c r="L36" s="1"/>
      <c r="M36" s="1"/>
      <c r="N36" s="1"/>
    </row>
    <row r="37" spans="1:14" x14ac:dyDescent="0.25">
      <c r="A37" s="1">
        <v>1001886</v>
      </c>
      <c r="B37" s="1" t="s">
        <v>90</v>
      </c>
      <c r="C37" s="1" t="s">
        <v>392</v>
      </c>
      <c r="D37" s="1">
        <v>325</v>
      </c>
      <c r="E37" s="1" t="s">
        <v>658</v>
      </c>
      <c r="F37" s="1">
        <v>5000261089</v>
      </c>
      <c r="G37" s="1">
        <v>103</v>
      </c>
      <c r="H37" s="1">
        <v>72</v>
      </c>
      <c r="I37" s="1">
        <v>74.75</v>
      </c>
      <c r="J37" s="1">
        <f t="shared" si="9"/>
        <v>2.75</v>
      </c>
      <c r="K37" s="1">
        <f>D37*J37</f>
        <v>893.75</v>
      </c>
      <c r="L37" s="1"/>
      <c r="M37" s="1"/>
      <c r="N37" s="1"/>
    </row>
    <row r="38" spans="1:14" x14ac:dyDescent="0.25">
      <c r="A38" s="1">
        <v>1001886</v>
      </c>
      <c r="B38" s="1" t="s">
        <v>90</v>
      </c>
      <c r="C38" s="1" t="s">
        <v>392</v>
      </c>
      <c r="D38" s="1">
        <v>690</v>
      </c>
      <c r="E38" s="1" t="s">
        <v>658</v>
      </c>
      <c r="F38" s="1">
        <v>5000261089</v>
      </c>
      <c r="G38" s="1">
        <v>103</v>
      </c>
      <c r="H38" s="1">
        <v>72</v>
      </c>
      <c r="I38" s="1">
        <v>74.75</v>
      </c>
      <c r="J38" s="1">
        <f t="shared" si="9"/>
        <v>2.75</v>
      </c>
      <c r="K38" s="1">
        <f t="shared" ref="K38:K39" si="11">D38*J38</f>
        <v>1897.5</v>
      </c>
      <c r="L38" s="1"/>
      <c r="M38" s="1"/>
      <c r="N38" s="1"/>
    </row>
    <row r="39" spans="1:14" x14ac:dyDescent="0.25">
      <c r="A39" s="1">
        <v>1001886</v>
      </c>
      <c r="B39" s="1" t="s">
        <v>90</v>
      </c>
      <c r="C39" s="1" t="s">
        <v>392</v>
      </c>
      <c r="D39" s="1">
        <v>500</v>
      </c>
      <c r="E39" s="1" t="s">
        <v>658</v>
      </c>
      <c r="F39" s="1">
        <v>5000261089</v>
      </c>
      <c r="G39" s="1">
        <v>103</v>
      </c>
      <c r="H39" s="1">
        <v>72</v>
      </c>
      <c r="I39" s="1">
        <v>74.75</v>
      </c>
      <c r="J39" s="1">
        <f t="shared" si="9"/>
        <v>2.75</v>
      </c>
      <c r="K39" s="1">
        <f t="shared" si="11"/>
        <v>1375</v>
      </c>
      <c r="L39" s="1"/>
      <c r="M39" s="1"/>
      <c r="N39" s="1"/>
    </row>
    <row r="40" spans="1:14" x14ac:dyDescent="0.25">
      <c r="A40" s="1">
        <v>1002060</v>
      </c>
      <c r="B40" s="1" t="s">
        <v>159</v>
      </c>
      <c r="C40" s="1" t="s">
        <v>392</v>
      </c>
      <c r="D40" s="1">
        <v>430</v>
      </c>
      <c r="E40" s="1" t="s">
        <v>664</v>
      </c>
      <c r="F40" s="1">
        <v>5000258658</v>
      </c>
      <c r="G40" s="1">
        <v>103</v>
      </c>
      <c r="H40" s="1"/>
      <c r="I40" s="1"/>
      <c r="J40" s="1"/>
      <c r="K40" s="1"/>
      <c r="L40" s="1"/>
      <c r="M40" s="1"/>
      <c r="N40" s="1"/>
    </row>
    <row r="41" spans="1:14" x14ac:dyDescent="0.25">
      <c r="A41" s="1">
        <v>1002060</v>
      </c>
      <c r="B41" s="1" t="s">
        <v>159</v>
      </c>
      <c r="C41" s="1" t="s">
        <v>392</v>
      </c>
      <c r="D41" s="1">
        <v>500</v>
      </c>
      <c r="E41" s="1" t="s">
        <v>664</v>
      </c>
      <c r="F41" s="1">
        <v>5000258658</v>
      </c>
      <c r="G41" s="1">
        <v>103</v>
      </c>
      <c r="H41" s="1"/>
      <c r="I41" s="1"/>
      <c r="J41" s="1"/>
      <c r="K41" s="1"/>
      <c r="L41" s="1"/>
      <c r="M41" s="1"/>
      <c r="N41" s="1"/>
    </row>
    <row r="42" spans="1:14" x14ac:dyDescent="0.25">
      <c r="A42" s="1">
        <v>1002944</v>
      </c>
      <c r="B42" s="1" t="s">
        <v>665</v>
      </c>
      <c r="C42" s="1" t="s">
        <v>392</v>
      </c>
      <c r="D42" s="1">
        <v>510</v>
      </c>
      <c r="E42" s="1" t="s">
        <v>664</v>
      </c>
      <c r="F42" s="1">
        <v>5000258658</v>
      </c>
      <c r="G42" s="1">
        <v>103</v>
      </c>
      <c r="H42" s="1"/>
      <c r="I42" s="1"/>
      <c r="J42" s="1"/>
      <c r="K42" s="1"/>
      <c r="L42" s="1"/>
      <c r="M42" s="1"/>
      <c r="N42" s="1"/>
    </row>
    <row r="43" spans="1:14" x14ac:dyDescent="0.25">
      <c r="A43" s="1">
        <v>1002944</v>
      </c>
      <c r="B43" s="1" t="s">
        <v>665</v>
      </c>
      <c r="C43" s="1" t="s">
        <v>392</v>
      </c>
      <c r="D43" s="1">
        <v>6</v>
      </c>
      <c r="E43" s="1" t="s">
        <v>664</v>
      </c>
      <c r="F43" s="1">
        <v>5000258658</v>
      </c>
      <c r="G43" s="1">
        <v>103</v>
      </c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>
        <f>SUM(D33:D44)</f>
        <v>6391</v>
      </c>
      <c r="E45" s="1"/>
      <c r="F45" s="1"/>
      <c r="G45" s="1"/>
      <c r="H45" s="1"/>
      <c r="I45" s="1"/>
      <c r="J45" s="1" t="s">
        <v>58</v>
      </c>
      <c r="K45" s="1">
        <f>SUM(K33:K43)</f>
        <v>13941.74999999998</v>
      </c>
      <c r="L45" s="1"/>
      <c r="M45" s="1"/>
      <c r="N45" s="1"/>
    </row>
    <row r="47" spans="1:14" x14ac:dyDescent="0.25">
      <c r="A47" t="s">
        <v>666</v>
      </c>
    </row>
    <row r="48" spans="1:14" x14ac:dyDescent="0.25">
      <c r="A48" s="1" t="s">
        <v>438</v>
      </c>
      <c r="B48" s="1" t="s">
        <v>169</v>
      </c>
      <c r="C48" s="1"/>
      <c r="D48" s="1" t="s">
        <v>22</v>
      </c>
      <c r="E48" s="1" t="s">
        <v>436</v>
      </c>
      <c r="F48" s="1" t="s">
        <v>208</v>
      </c>
      <c r="G48" s="1" t="s">
        <v>209</v>
      </c>
      <c r="H48" s="1" t="s">
        <v>210</v>
      </c>
      <c r="I48" s="1" t="s">
        <v>52</v>
      </c>
      <c r="J48" s="1" t="s">
        <v>21</v>
      </c>
    </row>
    <row r="49" spans="1:14" x14ac:dyDescent="0.25">
      <c r="A49" s="1">
        <v>1001826</v>
      </c>
      <c r="B49" s="1" t="s">
        <v>501</v>
      </c>
      <c r="C49" s="1" t="s">
        <v>0</v>
      </c>
      <c r="D49" s="2">
        <v>10500</v>
      </c>
      <c r="E49" s="1" t="s">
        <v>667</v>
      </c>
      <c r="F49" s="1">
        <v>5000261641</v>
      </c>
      <c r="G49" s="1">
        <v>1090</v>
      </c>
      <c r="H49" s="1">
        <f>1200+200</f>
        <v>1400</v>
      </c>
      <c r="I49" s="1">
        <f>H49-G49</f>
        <v>310</v>
      </c>
      <c r="J49" s="1">
        <f>I49*D49/1000</f>
        <v>3255</v>
      </c>
    </row>
    <row r="50" spans="1:14" x14ac:dyDescent="0.25">
      <c r="A50" s="1">
        <v>1001826</v>
      </c>
      <c r="B50" s="1" t="s">
        <v>501</v>
      </c>
      <c r="C50" s="1" t="s">
        <v>0</v>
      </c>
      <c r="D50" s="2">
        <v>10500</v>
      </c>
      <c r="E50" s="1" t="s">
        <v>668</v>
      </c>
      <c r="F50" s="1">
        <v>5000258878</v>
      </c>
      <c r="G50" s="1">
        <v>1090</v>
      </c>
      <c r="H50" s="1">
        <f>1200+200</f>
        <v>1400</v>
      </c>
      <c r="I50" s="1">
        <f>H50-G50</f>
        <v>310</v>
      </c>
      <c r="J50" s="1">
        <f>I50*D50/1000</f>
        <v>3255</v>
      </c>
    </row>
    <row r="51" spans="1:14" x14ac:dyDescent="0.25">
      <c r="A51" s="1">
        <v>1001827</v>
      </c>
      <c r="B51" s="1" t="s">
        <v>502</v>
      </c>
      <c r="C51" s="1" t="s">
        <v>0</v>
      </c>
      <c r="D51" s="2">
        <v>10500</v>
      </c>
      <c r="E51" s="1" t="s">
        <v>667</v>
      </c>
      <c r="F51" s="1">
        <v>5000261641</v>
      </c>
      <c r="G51" s="1">
        <v>1310</v>
      </c>
      <c r="H51" s="1">
        <f>1600+285</f>
        <v>1885</v>
      </c>
      <c r="I51" s="1">
        <f>H51-G51</f>
        <v>575</v>
      </c>
      <c r="J51" s="1">
        <f>I51*D51/1000</f>
        <v>6037.5</v>
      </c>
    </row>
    <row r="52" spans="1:14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</row>
    <row r="53" spans="1:14" x14ac:dyDescent="0.25">
      <c r="A53" s="1"/>
      <c r="B53" s="1"/>
      <c r="C53" s="1"/>
      <c r="D53" s="2">
        <f>SUM(D49:D52)</f>
        <v>31500</v>
      </c>
      <c r="E53" s="1"/>
      <c r="F53" s="1"/>
      <c r="G53" s="1"/>
      <c r="H53" s="1"/>
      <c r="I53" s="1" t="s">
        <v>58</v>
      </c>
      <c r="J53" s="1">
        <f>SUM(J49:J51)</f>
        <v>12547.5</v>
      </c>
    </row>
    <row r="54" spans="1:14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</row>
    <row r="55" spans="1:14" x14ac:dyDescent="0.25">
      <c r="A55" s="1" t="s">
        <v>669</v>
      </c>
      <c r="B55" s="1"/>
      <c r="C55" s="1"/>
      <c r="D55" s="2"/>
      <c r="E55" s="1"/>
      <c r="F55" s="1"/>
      <c r="G55" s="1"/>
      <c r="H55" s="1"/>
      <c r="I55" s="1"/>
      <c r="J55" s="1"/>
    </row>
    <row r="56" spans="1:14" x14ac:dyDescent="0.25">
      <c r="A56" s="1"/>
      <c r="B56" s="1"/>
      <c r="C56" s="1"/>
      <c r="D56" s="1"/>
      <c r="E56" s="1"/>
      <c r="F56" s="1"/>
      <c r="G56" s="199" t="s">
        <v>603</v>
      </c>
      <c r="H56" s="199"/>
      <c r="I56" s="199"/>
      <c r="J56" s="199"/>
      <c r="K56" s="199" t="s">
        <v>604</v>
      </c>
      <c r="L56" s="199"/>
      <c r="M56" s="199"/>
      <c r="N56" s="199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 t="s">
        <v>438</v>
      </c>
      <c r="B58" s="1" t="s">
        <v>439</v>
      </c>
      <c r="C58" s="1" t="s">
        <v>172</v>
      </c>
      <c r="D58" s="1" t="s">
        <v>22</v>
      </c>
      <c r="E58" s="1" t="s">
        <v>594</v>
      </c>
      <c r="F58" s="1" t="s">
        <v>172</v>
      </c>
      <c r="G58" s="1" t="s">
        <v>601</v>
      </c>
      <c r="H58" s="1" t="s">
        <v>210</v>
      </c>
      <c r="I58" s="1" t="s">
        <v>602</v>
      </c>
      <c r="J58" s="1" t="s">
        <v>443</v>
      </c>
      <c r="K58" s="1" t="s">
        <v>601</v>
      </c>
      <c r="L58" s="1" t="s">
        <v>210</v>
      </c>
      <c r="M58" s="1" t="s">
        <v>602</v>
      </c>
      <c r="N58" s="1" t="s">
        <v>443</v>
      </c>
    </row>
    <row r="59" spans="1:14" x14ac:dyDescent="0.25">
      <c r="A59" s="1">
        <v>1001478</v>
      </c>
      <c r="B59" s="1" t="s">
        <v>362</v>
      </c>
      <c r="C59" s="1" t="s">
        <v>0</v>
      </c>
      <c r="D59" s="2">
        <v>16000</v>
      </c>
      <c r="E59" s="1" t="s">
        <v>670</v>
      </c>
      <c r="F59" s="1">
        <v>5000257533</v>
      </c>
      <c r="G59" s="1">
        <v>600</v>
      </c>
      <c r="H59" s="1">
        <v>680</v>
      </c>
      <c r="I59" s="1">
        <f t="shared" ref="I59:I65" si="12">H59-G59</f>
        <v>80</v>
      </c>
      <c r="J59" s="1">
        <f>I59*D59/1000</f>
        <v>1280</v>
      </c>
      <c r="K59" s="1"/>
      <c r="L59" s="1"/>
      <c r="M59" s="1"/>
      <c r="N59" s="1"/>
    </row>
    <row r="60" spans="1:14" x14ac:dyDescent="0.25">
      <c r="A60" s="1">
        <v>1001781</v>
      </c>
      <c r="B60" s="1" t="s">
        <v>553</v>
      </c>
      <c r="C60" s="1" t="s">
        <v>0</v>
      </c>
      <c r="D60" s="2">
        <v>14700</v>
      </c>
      <c r="E60" s="1" t="s">
        <v>660</v>
      </c>
      <c r="F60" s="1">
        <v>5000258062</v>
      </c>
      <c r="G60" s="4">
        <v>390</v>
      </c>
      <c r="H60" s="4">
        <v>480</v>
      </c>
      <c r="I60" s="1">
        <f t="shared" si="12"/>
        <v>90</v>
      </c>
      <c r="J60" s="1">
        <f>I60*D60/1000</f>
        <v>1323</v>
      </c>
      <c r="K60" s="1"/>
      <c r="L60" s="1"/>
      <c r="M60" s="1"/>
      <c r="N60" s="1"/>
    </row>
    <row r="61" spans="1:14" x14ac:dyDescent="0.25">
      <c r="A61" s="1">
        <v>1002942</v>
      </c>
      <c r="B61" s="1" t="s">
        <v>503</v>
      </c>
      <c r="C61" s="1" t="s">
        <v>0</v>
      </c>
      <c r="D61" s="2">
        <v>10000</v>
      </c>
      <c r="E61" s="1" t="s">
        <v>662</v>
      </c>
      <c r="F61" s="1">
        <v>5000260586</v>
      </c>
      <c r="G61" s="1">
        <v>570</v>
      </c>
      <c r="H61" s="1">
        <v>660</v>
      </c>
      <c r="I61" s="1">
        <f t="shared" si="12"/>
        <v>90</v>
      </c>
      <c r="J61" s="1">
        <f>I61*D61/1000</f>
        <v>900</v>
      </c>
      <c r="K61" s="1"/>
      <c r="L61" s="1"/>
      <c r="M61" s="1"/>
      <c r="N61" s="1"/>
    </row>
    <row r="62" spans="1:14" x14ac:dyDescent="0.25">
      <c r="A62" s="1">
        <v>1002942</v>
      </c>
      <c r="B62" s="1" t="s">
        <v>503</v>
      </c>
      <c r="C62" s="1" t="s">
        <v>0</v>
      </c>
      <c r="D62" s="2">
        <v>15800</v>
      </c>
      <c r="E62" s="1" t="s">
        <v>660</v>
      </c>
      <c r="F62" s="1">
        <v>5000258062</v>
      </c>
      <c r="G62" s="1">
        <v>570</v>
      </c>
      <c r="H62" s="1">
        <v>660</v>
      </c>
      <c r="I62" s="1">
        <f t="shared" si="12"/>
        <v>90</v>
      </c>
      <c r="J62" s="1">
        <f t="shared" ref="J62:J63" si="13">I62*D62/1000</f>
        <v>1422</v>
      </c>
      <c r="K62" s="1"/>
      <c r="L62" s="1"/>
      <c r="M62" s="1"/>
      <c r="N62" s="1"/>
    </row>
    <row r="63" spans="1:14" x14ac:dyDescent="0.25">
      <c r="A63" s="1">
        <v>1002942</v>
      </c>
      <c r="B63" s="1" t="s">
        <v>503</v>
      </c>
      <c r="C63" s="1" t="s">
        <v>0</v>
      </c>
      <c r="D63" s="2">
        <v>10000</v>
      </c>
      <c r="E63" s="1" t="s">
        <v>660</v>
      </c>
      <c r="F63" s="1">
        <v>5000258062</v>
      </c>
      <c r="G63" s="1">
        <v>570</v>
      </c>
      <c r="H63" s="1">
        <v>660</v>
      </c>
      <c r="I63" s="1">
        <f t="shared" si="12"/>
        <v>90</v>
      </c>
      <c r="J63" s="1">
        <f t="shared" si="13"/>
        <v>900</v>
      </c>
      <c r="K63" s="1"/>
      <c r="L63" s="1"/>
      <c r="M63" s="1"/>
      <c r="N63" s="1"/>
    </row>
    <row r="64" spans="1:14" x14ac:dyDescent="0.25">
      <c r="A64" s="1">
        <v>1003045</v>
      </c>
      <c r="B64" s="1" t="s">
        <v>554</v>
      </c>
      <c r="C64" s="1" t="s">
        <v>0</v>
      </c>
      <c r="D64" s="2">
        <v>10000</v>
      </c>
      <c r="E64" s="1" t="s">
        <v>671</v>
      </c>
      <c r="F64" s="1">
        <v>5000259466</v>
      </c>
      <c r="G64" s="1">
        <v>370</v>
      </c>
      <c r="H64" s="1">
        <v>460</v>
      </c>
      <c r="I64" s="1">
        <f t="shared" si="12"/>
        <v>90</v>
      </c>
      <c r="J64" s="1">
        <f>I64*D64/1000</f>
        <v>900</v>
      </c>
      <c r="K64" s="4">
        <v>260</v>
      </c>
      <c r="L64" s="4">
        <v>370</v>
      </c>
      <c r="M64" s="1">
        <f t="shared" ref="M64:M65" si="14">L64-K64</f>
        <v>110</v>
      </c>
      <c r="N64" s="1">
        <f>M64*D64/1000</f>
        <v>1100</v>
      </c>
    </row>
    <row r="65" spans="1:14" x14ac:dyDescent="0.25">
      <c r="A65" s="1">
        <v>1003045</v>
      </c>
      <c r="B65" s="1" t="s">
        <v>554</v>
      </c>
      <c r="C65" s="1" t="s">
        <v>0</v>
      </c>
      <c r="D65" s="2">
        <v>39500</v>
      </c>
      <c r="E65" s="1" t="s">
        <v>670</v>
      </c>
      <c r="F65" s="1">
        <v>5000257533</v>
      </c>
      <c r="G65" s="1">
        <v>370</v>
      </c>
      <c r="H65" s="1">
        <v>460</v>
      </c>
      <c r="I65" s="1">
        <f t="shared" si="12"/>
        <v>90</v>
      </c>
      <c r="J65" s="1">
        <f>I65*D65/1000</f>
        <v>3555</v>
      </c>
      <c r="K65" s="4">
        <v>260</v>
      </c>
      <c r="L65" s="4">
        <v>370</v>
      </c>
      <c r="M65" s="1">
        <f t="shared" si="14"/>
        <v>110</v>
      </c>
      <c r="N65" s="1">
        <f>M65*D65/1000</f>
        <v>4345</v>
      </c>
    </row>
    <row r="66" spans="1:14" x14ac:dyDescent="0.25">
      <c r="A66" s="1">
        <v>1003046</v>
      </c>
      <c r="B66" s="1" t="s">
        <v>555</v>
      </c>
      <c r="C66" s="1" t="s">
        <v>0</v>
      </c>
      <c r="D66" s="2">
        <v>34700</v>
      </c>
      <c r="E66" s="1" t="s">
        <v>660</v>
      </c>
      <c r="F66" s="1">
        <v>5000258062</v>
      </c>
      <c r="G66" s="1">
        <v>500</v>
      </c>
      <c r="H66" s="1">
        <v>850</v>
      </c>
      <c r="I66" s="1">
        <f>H66-G66</f>
        <v>350</v>
      </c>
      <c r="J66" s="1">
        <f>I66*D66/1000</f>
        <v>12145</v>
      </c>
      <c r="K66" s="4">
        <v>460</v>
      </c>
      <c r="L66" s="4">
        <v>500</v>
      </c>
      <c r="M66" s="1">
        <f>L66-K66</f>
        <v>40</v>
      </c>
      <c r="N66" s="1">
        <f>M66*D66/1000</f>
        <v>1388</v>
      </c>
    </row>
    <row r="67" spans="1:14" x14ac:dyDescent="0.25">
      <c r="A67" s="1">
        <v>1003046</v>
      </c>
      <c r="B67" s="1" t="s">
        <v>555</v>
      </c>
      <c r="C67" s="1" t="s">
        <v>0</v>
      </c>
      <c r="D67" s="2">
        <v>4400</v>
      </c>
      <c r="E67" s="1" t="s">
        <v>670</v>
      </c>
      <c r="F67" s="1">
        <v>5000257533</v>
      </c>
      <c r="G67" s="1">
        <v>500</v>
      </c>
      <c r="H67" s="1">
        <v>850</v>
      </c>
      <c r="I67" s="1">
        <f t="shared" ref="I67:I70" si="15">H67-G67</f>
        <v>350</v>
      </c>
      <c r="J67" s="1">
        <f t="shared" ref="J67:J70" si="16">I67*D67/1000</f>
        <v>1540</v>
      </c>
      <c r="K67" s="4">
        <v>460</v>
      </c>
      <c r="L67" s="4">
        <v>500</v>
      </c>
      <c r="M67" s="1">
        <f t="shared" ref="M67:M70" si="17">L67-K67</f>
        <v>40</v>
      </c>
      <c r="N67" s="1">
        <f t="shared" ref="N67:N70" si="18">M67*D67/1000</f>
        <v>176</v>
      </c>
    </row>
    <row r="68" spans="1:14" x14ac:dyDescent="0.25">
      <c r="A68" s="1">
        <v>1003046</v>
      </c>
      <c r="B68" s="1" t="s">
        <v>555</v>
      </c>
      <c r="C68" s="1" t="s">
        <v>0</v>
      </c>
      <c r="D68" s="2">
        <v>4900</v>
      </c>
      <c r="E68" s="1" t="s">
        <v>670</v>
      </c>
      <c r="F68" s="1">
        <v>5000257533</v>
      </c>
      <c r="G68" s="1">
        <v>500</v>
      </c>
      <c r="H68" s="1">
        <v>850</v>
      </c>
      <c r="I68" s="1">
        <f t="shared" si="15"/>
        <v>350</v>
      </c>
      <c r="J68" s="1">
        <f t="shared" si="16"/>
        <v>1715</v>
      </c>
      <c r="K68" s="4">
        <v>460</v>
      </c>
      <c r="L68" s="4">
        <v>500</v>
      </c>
      <c r="M68" s="1">
        <f t="shared" si="17"/>
        <v>40</v>
      </c>
      <c r="N68" s="1">
        <f t="shared" si="18"/>
        <v>196</v>
      </c>
    </row>
    <row r="69" spans="1:14" x14ac:dyDescent="0.25">
      <c r="A69" s="1">
        <v>1003116</v>
      </c>
      <c r="B69" s="1" t="s">
        <v>672</v>
      </c>
      <c r="C69" s="1" t="s">
        <v>0</v>
      </c>
      <c r="D69" s="2">
        <v>20000</v>
      </c>
      <c r="E69" s="1" t="s">
        <v>662</v>
      </c>
      <c r="F69" s="1">
        <v>5000260586</v>
      </c>
      <c r="G69" s="1">
        <v>600</v>
      </c>
      <c r="H69" s="1">
        <v>680</v>
      </c>
      <c r="I69" s="1">
        <f t="shared" si="15"/>
        <v>80</v>
      </c>
      <c r="J69" s="1">
        <f t="shared" si="16"/>
        <v>1600</v>
      </c>
      <c r="K69" s="4">
        <v>500</v>
      </c>
      <c r="L69" s="4">
        <v>600</v>
      </c>
      <c r="M69" s="4">
        <f t="shared" si="17"/>
        <v>100</v>
      </c>
      <c r="N69" s="4">
        <f t="shared" si="18"/>
        <v>2000</v>
      </c>
    </row>
    <row r="70" spans="1:14" x14ac:dyDescent="0.25">
      <c r="A70" s="1">
        <v>1003116</v>
      </c>
      <c r="B70" s="1" t="s">
        <v>672</v>
      </c>
      <c r="C70" s="1" t="s">
        <v>0</v>
      </c>
      <c r="D70" s="2">
        <v>20000</v>
      </c>
      <c r="E70" s="1" t="s">
        <v>671</v>
      </c>
      <c r="F70" s="1">
        <v>5000259466</v>
      </c>
      <c r="G70" s="1">
        <v>600</v>
      </c>
      <c r="H70" s="1">
        <v>680</v>
      </c>
      <c r="I70" s="1">
        <f t="shared" si="15"/>
        <v>80</v>
      </c>
      <c r="J70" s="1">
        <f t="shared" si="16"/>
        <v>1600</v>
      </c>
      <c r="K70" s="4">
        <v>500</v>
      </c>
      <c r="L70" s="4">
        <v>600</v>
      </c>
      <c r="M70" s="4">
        <f t="shared" si="17"/>
        <v>100</v>
      </c>
      <c r="N70" s="4">
        <f t="shared" si="18"/>
        <v>2000</v>
      </c>
    </row>
    <row r="71" spans="1:14" x14ac:dyDescent="0.25">
      <c r="A71" s="1"/>
      <c r="B71" s="1"/>
      <c r="C71" s="2">
        <f>SUM(D64:D70)</f>
        <v>133500</v>
      </c>
      <c r="D71" s="2">
        <f>SUM(D59:D70)</f>
        <v>200000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 t="s">
        <v>58</v>
      </c>
      <c r="J72" s="1">
        <f>SUM(J59:J70)</f>
        <v>28880</v>
      </c>
      <c r="K72" s="1"/>
      <c r="L72" s="1"/>
      <c r="M72" s="1"/>
      <c r="N72" s="1">
        <f>SUM(N59:N70)</f>
        <v>11205</v>
      </c>
    </row>
    <row r="73" spans="1:14" hidden="1" x14ac:dyDescent="0.25">
      <c r="A73" t="s">
        <v>673</v>
      </c>
    </row>
    <row r="74" spans="1:14" hidden="1" x14ac:dyDescent="0.25">
      <c r="A74" s="1" t="s">
        <v>438</v>
      </c>
      <c r="B74" s="1" t="s">
        <v>439</v>
      </c>
      <c r="C74" s="1"/>
      <c r="D74" s="1" t="s">
        <v>22</v>
      </c>
      <c r="E74" s="1" t="s">
        <v>594</v>
      </c>
      <c r="F74" s="1" t="s">
        <v>172</v>
      </c>
      <c r="G74" s="1" t="s">
        <v>601</v>
      </c>
      <c r="H74" s="1" t="s">
        <v>210</v>
      </c>
      <c r="I74" s="1" t="s">
        <v>602</v>
      </c>
      <c r="J74" s="1" t="s">
        <v>443</v>
      </c>
    </row>
    <row r="75" spans="1:14" hidden="1" x14ac:dyDescent="0.25">
      <c r="A75" s="1">
        <v>1002050</v>
      </c>
      <c r="B75" s="1" t="s">
        <v>674</v>
      </c>
      <c r="C75" s="1" t="s">
        <v>0</v>
      </c>
      <c r="D75" s="2">
        <v>8360</v>
      </c>
      <c r="E75" s="1" t="s">
        <v>662</v>
      </c>
      <c r="F75" s="1">
        <v>5000260493</v>
      </c>
      <c r="G75" s="1">
        <v>6313</v>
      </c>
      <c r="H75" s="1">
        <v>6798</v>
      </c>
      <c r="I75" s="2">
        <f>H75-G75</f>
        <v>485</v>
      </c>
      <c r="J75" s="1">
        <f>I75*D75/1000</f>
        <v>4054.6</v>
      </c>
    </row>
    <row r="76" spans="1:14" hidden="1" x14ac:dyDescent="0.25">
      <c r="A76" s="1">
        <v>1002050</v>
      </c>
      <c r="B76" s="1" t="s">
        <v>674</v>
      </c>
      <c r="C76" s="1" t="s">
        <v>0</v>
      </c>
      <c r="D76" s="2">
        <v>28600</v>
      </c>
      <c r="E76" s="1" t="s">
        <v>675</v>
      </c>
      <c r="F76" s="1">
        <v>5000256478</v>
      </c>
      <c r="G76" s="1">
        <v>6313</v>
      </c>
      <c r="H76" s="1">
        <v>6798</v>
      </c>
      <c r="I76" s="2">
        <f t="shared" ref="I76:I79" si="19">H76-G76</f>
        <v>485</v>
      </c>
      <c r="J76" s="1">
        <f t="shared" ref="J76:J79" si="20">I76*D76/1000</f>
        <v>13871</v>
      </c>
    </row>
    <row r="77" spans="1:14" hidden="1" x14ac:dyDescent="0.25">
      <c r="A77" s="1">
        <v>1002050</v>
      </c>
      <c r="B77" s="1" t="s">
        <v>674</v>
      </c>
      <c r="C77" s="1" t="s">
        <v>0</v>
      </c>
      <c r="D77" s="2">
        <v>12980</v>
      </c>
      <c r="E77" s="1" t="s">
        <v>676</v>
      </c>
      <c r="F77" s="1">
        <v>5000256308</v>
      </c>
      <c r="G77" s="1">
        <v>6313</v>
      </c>
      <c r="H77" s="1">
        <v>6798</v>
      </c>
      <c r="I77" s="2">
        <f t="shared" si="19"/>
        <v>485</v>
      </c>
      <c r="J77" s="1">
        <f t="shared" si="20"/>
        <v>6295.3</v>
      </c>
    </row>
    <row r="78" spans="1:14" hidden="1" x14ac:dyDescent="0.25">
      <c r="A78" s="1">
        <v>1002052</v>
      </c>
      <c r="B78" s="1" t="s">
        <v>677</v>
      </c>
      <c r="C78" s="1" t="s">
        <v>0</v>
      </c>
      <c r="D78" s="2">
        <v>4698</v>
      </c>
      <c r="E78" s="1" t="s">
        <v>675</v>
      </c>
      <c r="F78" s="1">
        <v>5000256479</v>
      </c>
      <c r="G78" s="1">
        <v>7885</v>
      </c>
      <c r="H78" s="1">
        <v>9076</v>
      </c>
      <c r="I78" s="2">
        <f t="shared" si="19"/>
        <v>1191</v>
      </c>
      <c r="J78" s="1">
        <f t="shared" si="20"/>
        <v>5595.3180000000002</v>
      </c>
    </row>
    <row r="79" spans="1:14" hidden="1" x14ac:dyDescent="0.25">
      <c r="A79" s="1">
        <v>1002052</v>
      </c>
      <c r="B79" s="1" t="s">
        <v>677</v>
      </c>
      <c r="C79" s="1" t="s">
        <v>0</v>
      </c>
      <c r="D79" s="2">
        <v>41148</v>
      </c>
      <c r="E79" s="1" t="s">
        <v>676</v>
      </c>
      <c r="F79" s="1">
        <v>5000256309</v>
      </c>
      <c r="G79" s="1">
        <v>7885</v>
      </c>
      <c r="H79" s="1">
        <v>9076</v>
      </c>
      <c r="I79" s="2">
        <f t="shared" si="19"/>
        <v>1191</v>
      </c>
      <c r="J79" s="1">
        <f t="shared" si="20"/>
        <v>49007.267999999996</v>
      </c>
    </row>
    <row r="80" spans="1:14" hidden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 t="s">
        <v>58</v>
      </c>
      <c r="J81" s="1">
        <f>SUM(J75:J79)</f>
        <v>78823.48599999999</v>
      </c>
    </row>
    <row r="83" spans="1:11" x14ac:dyDescent="0.25">
      <c r="A83" t="s">
        <v>678</v>
      </c>
    </row>
    <row r="84" spans="1:11" x14ac:dyDescent="0.25">
      <c r="A84" s="1" t="s">
        <v>438</v>
      </c>
      <c r="B84" s="1" t="s">
        <v>439</v>
      </c>
      <c r="C84" s="1"/>
      <c r="D84" s="1" t="s">
        <v>22</v>
      </c>
      <c r="E84" s="1" t="s">
        <v>594</v>
      </c>
      <c r="F84" s="1" t="s">
        <v>172</v>
      </c>
      <c r="G84" s="1" t="s">
        <v>679</v>
      </c>
      <c r="H84" s="1" t="s">
        <v>601</v>
      </c>
      <c r="I84" s="1" t="s">
        <v>210</v>
      </c>
      <c r="J84" s="1" t="s">
        <v>602</v>
      </c>
      <c r="K84" s="1" t="s">
        <v>443</v>
      </c>
    </row>
    <row r="85" spans="1:11" x14ac:dyDescent="0.25">
      <c r="A85" s="1">
        <v>1001862</v>
      </c>
      <c r="B85" s="1" t="s">
        <v>680</v>
      </c>
      <c r="C85" s="1" t="s">
        <v>0</v>
      </c>
      <c r="D85" s="2">
        <v>219700</v>
      </c>
      <c r="E85" s="1" t="s">
        <v>659</v>
      </c>
      <c r="F85" s="1">
        <v>5000259587</v>
      </c>
      <c r="G85" s="1">
        <v>103</v>
      </c>
      <c r="H85" s="1">
        <v>803</v>
      </c>
      <c r="I85" s="1">
        <v>810</v>
      </c>
      <c r="J85" s="1">
        <f>I85-H85</f>
        <v>7</v>
      </c>
      <c r="K85" s="1">
        <f>J85*D85/1000</f>
        <v>1537.9</v>
      </c>
    </row>
    <row r="86" spans="1:11" x14ac:dyDescent="0.25">
      <c r="A86" s="1">
        <v>1001862</v>
      </c>
      <c r="B86" s="1" t="s">
        <v>680</v>
      </c>
      <c r="C86" s="1" t="s">
        <v>0</v>
      </c>
      <c r="D86" s="2">
        <v>262700</v>
      </c>
      <c r="E86" s="1" t="s">
        <v>659</v>
      </c>
      <c r="F86" s="1">
        <v>5000259586</v>
      </c>
      <c r="G86" s="1">
        <v>103</v>
      </c>
      <c r="H86" s="1">
        <v>803</v>
      </c>
      <c r="I86" s="1">
        <v>810</v>
      </c>
      <c r="J86" s="1">
        <f t="shared" ref="J86:J88" si="21">I86-H86</f>
        <v>7</v>
      </c>
      <c r="K86" s="1">
        <f t="shared" ref="K86:K88" si="22">J86*D86/1000</f>
        <v>1838.9</v>
      </c>
    </row>
    <row r="87" spans="1:11" x14ac:dyDescent="0.25">
      <c r="A87" s="1">
        <v>1001863</v>
      </c>
      <c r="B87" s="1" t="s">
        <v>681</v>
      </c>
      <c r="C87" s="1" t="s">
        <v>0</v>
      </c>
      <c r="D87" s="2">
        <v>409300</v>
      </c>
      <c r="E87" s="1" t="s">
        <v>659</v>
      </c>
      <c r="F87" s="1">
        <v>5000259584</v>
      </c>
      <c r="G87" s="1">
        <v>103</v>
      </c>
      <c r="H87" s="1">
        <v>803</v>
      </c>
      <c r="I87" s="1">
        <v>810</v>
      </c>
      <c r="J87" s="1">
        <f t="shared" si="21"/>
        <v>7</v>
      </c>
      <c r="K87" s="1">
        <f t="shared" si="22"/>
        <v>2865.1</v>
      </c>
    </row>
    <row r="88" spans="1:11" x14ac:dyDescent="0.25">
      <c r="A88" s="1">
        <v>1001865</v>
      </c>
      <c r="B88" s="1" t="s">
        <v>682</v>
      </c>
      <c r="C88" s="1" t="s">
        <v>0</v>
      </c>
      <c r="D88" s="2">
        <v>645900</v>
      </c>
      <c r="E88" s="1" t="s">
        <v>683</v>
      </c>
      <c r="F88" s="1">
        <v>5000258392</v>
      </c>
      <c r="G88" s="1">
        <v>103</v>
      </c>
      <c r="H88" s="1">
        <v>981.38</v>
      </c>
      <c r="I88" s="1">
        <v>990</v>
      </c>
      <c r="J88" s="1">
        <f t="shared" si="21"/>
        <v>8.6200000000000045</v>
      </c>
      <c r="K88" s="1">
        <f t="shared" si="22"/>
        <v>5567.6580000000031</v>
      </c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2">
        <f>SUM(D85:D89)</f>
        <v>1537600</v>
      </c>
      <c r="E90" s="1"/>
      <c r="F90" s="1"/>
      <c r="G90" s="1"/>
      <c r="H90" s="1"/>
      <c r="I90" s="1"/>
      <c r="J90" s="1" t="s">
        <v>58</v>
      </c>
      <c r="K90" s="1">
        <f>SUM(K85:K88)</f>
        <v>11809.558000000003</v>
      </c>
    </row>
    <row r="92" spans="1:11" x14ac:dyDescent="0.25">
      <c r="A92" s="1" t="s">
        <v>167</v>
      </c>
      <c r="B92" s="1" t="s">
        <v>169</v>
      </c>
      <c r="C92" s="1"/>
      <c r="D92" s="1" t="s">
        <v>22</v>
      </c>
      <c r="E92" s="1"/>
      <c r="F92" s="1" t="s">
        <v>618</v>
      </c>
      <c r="G92" s="1" t="s">
        <v>619</v>
      </c>
      <c r="H92" s="1" t="s">
        <v>210</v>
      </c>
      <c r="I92" s="1" t="s">
        <v>465</v>
      </c>
      <c r="J92" s="1" t="s">
        <v>21</v>
      </c>
    </row>
    <row r="93" spans="1:11" x14ac:dyDescent="0.25">
      <c r="A93" s="1">
        <v>1002949</v>
      </c>
      <c r="B93" s="1" t="s">
        <v>624</v>
      </c>
      <c r="C93" s="1" t="s">
        <v>392</v>
      </c>
      <c r="D93" s="1">
        <v>716.76</v>
      </c>
      <c r="E93" s="1" t="s">
        <v>684</v>
      </c>
      <c r="F93" s="1">
        <v>5000257635</v>
      </c>
      <c r="G93" s="1">
        <v>169.53</v>
      </c>
      <c r="H93" s="1">
        <v>178.17</v>
      </c>
      <c r="I93" s="1">
        <f>H93-G93</f>
        <v>8.6399999999999864</v>
      </c>
      <c r="J93" s="1">
        <f>I93*D93</f>
        <v>6192.8063999999904</v>
      </c>
    </row>
    <row r="94" spans="1:11" x14ac:dyDescent="0.25">
      <c r="A94" s="1">
        <v>1002949</v>
      </c>
      <c r="B94" s="1" t="s">
        <v>624</v>
      </c>
      <c r="C94" s="1" t="s">
        <v>392</v>
      </c>
      <c r="D94" s="1">
        <v>173.96</v>
      </c>
      <c r="E94" s="1" t="s">
        <v>684</v>
      </c>
      <c r="F94" s="1">
        <v>5000257635</v>
      </c>
      <c r="G94" s="1">
        <v>169.53</v>
      </c>
      <c r="H94" s="1">
        <v>178.17</v>
      </c>
      <c r="I94" s="1">
        <f t="shared" ref="I94:I96" si="23">H94-G94</f>
        <v>8.6399999999999864</v>
      </c>
      <c r="J94" s="1">
        <f t="shared" ref="J94:J96" si="24">I94*D94</f>
        <v>1503.0143999999977</v>
      </c>
    </row>
    <row r="95" spans="1:11" x14ac:dyDescent="0.25">
      <c r="A95" s="1">
        <v>1003005</v>
      </c>
      <c r="B95" s="1" t="s">
        <v>685</v>
      </c>
      <c r="C95" s="1" t="s">
        <v>392</v>
      </c>
      <c r="D95" s="1">
        <v>315.98</v>
      </c>
      <c r="E95" s="1" t="s">
        <v>686</v>
      </c>
      <c r="F95" s="1">
        <v>5000257748</v>
      </c>
      <c r="G95" s="1">
        <v>169.53</v>
      </c>
      <c r="H95" s="1">
        <v>178.17</v>
      </c>
      <c r="I95" s="1">
        <f t="shared" si="23"/>
        <v>8.6399999999999864</v>
      </c>
      <c r="J95" s="1">
        <f t="shared" si="24"/>
        <v>2730.0671999999959</v>
      </c>
    </row>
    <row r="96" spans="1:11" x14ac:dyDescent="0.25">
      <c r="A96" s="1">
        <v>1003005</v>
      </c>
      <c r="B96" s="1" t="s">
        <v>685</v>
      </c>
      <c r="C96" s="1" t="s">
        <v>392</v>
      </c>
      <c r="D96" s="1">
        <v>506.52</v>
      </c>
      <c r="E96" s="1" t="s">
        <v>675</v>
      </c>
      <c r="F96" s="1">
        <v>5000256406</v>
      </c>
      <c r="G96" s="1">
        <v>169.53</v>
      </c>
      <c r="H96" s="1">
        <v>178.17</v>
      </c>
      <c r="I96" s="1">
        <f t="shared" si="23"/>
        <v>8.6399999999999864</v>
      </c>
      <c r="J96" s="1">
        <f t="shared" si="24"/>
        <v>4376.3327999999929</v>
      </c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>
        <f>SUM(D93:D97)</f>
        <v>1713.22</v>
      </c>
      <c r="E98" s="1"/>
      <c r="F98" s="1"/>
      <c r="G98" s="1"/>
      <c r="H98" s="1"/>
      <c r="I98" s="1" t="s">
        <v>58</v>
      </c>
      <c r="J98" s="1">
        <f>SUM(J93:J96)</f>
        <v>14802.220799999977</v>
      </c>
    </row>
    <row r="99" spans="1:10" x14ac:dyDescent="0.25">
      <c r="A99" s="1" t="s">
        <v>627</v>
      </c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>
        <v>1003086</v>
      </c>
      <c r="B101" s="1" t="s">
        <v>626</v>
      </c>
      <c r="C101" s="1" t="s">
        <v>0</v>
      </c>
      <c r="D101" s="2">
        <v>1221800</v>
      </c>
      <c r="E101" s="1" t="s">
        <v>591</v>
      </c>
      <c r="F101" s="1">
        <v>5000255628</v>
      </c>
      <c r="G101" s="1">
        <v>105</v>
      </c>
      <c r="H101" s="4">
        <v>91.63</v>
      </c>
      <c r="I101" s="4">
        <v>3000</v>
      </c>
      <c r="J101" s="1">
        <f>H101*I101</f>
        <v>274890</v>
      </c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2">
        <f>SUM(D100:D101)</f>
        <v>1221800</v>
      </c>
      <c r="E103" s="1"/>
      <c r="F103" s="1">
        <f>D103/13333.33</f>
        <v>91.63502290875573</v>
      </c>
      <c r="G103" s="1">
        <f>F103*3000</f>
        <v>274905.0687262672</v>
      </c>
      <c r="H103" s="1"/>
      <c r="I103" s="1"/>
      <c r="J103" s="1"/>
    </row>
    <row r="105" spans="1:10" x14ac:dyDescent="0.25">
      <c r="B105" s="1" t="s">
        <v>687</v>
      </c>
      <c r="C105" s="1"/>
      <c r="D105" s="1"/>
      <c r="E105" s="1"/>
      <c r="F105" s="1"/>
    </row>
    <row r="106" spans="1:10" x14ac:dyDescent="0.25">
      <c r="B106" s="1" t="s">
        <v>688</v>
      </c>
      <c r="C106" s="1">
        <v>183600</v>
      </c>
      <c r="D106" s="1"/>
      <c r="E106" s="1"/>
      <c r="F106" s="1"/>
    </row>
    <row r="107" spans="1:10" x14ac:dyDescent="0.25">
      <c r="B107" s="1" t="s">
        <v>689</v>
      </c>
      <c r="C107" s="1">
        <v>400</v>
      </c>
      <c r="D107" s="1"/>
      <c r="E107" s="1"/>
      <c r="F107" s="1"/>
    </row>
    <row r="108" spans="1:10" x14ac:dyDescent="0.25">
      <c r="B108" s="1" t="s">
        <v>690</v>
      </c>
      <c r="C108" s="1">
        <v>8600</v>
      </c>
      <c r="D108" s="1"/>
      <c r="E108" s="1"/>
      <c r="F108" s="1"/>
    </row>
    <row r="109" spans="1:10" x14ac:dyDescent="0.25">
      <c r="B109" s="1" t="s">
        <v>691</v>
      </c>
      <c r="C109" s="1">
        <v>1015500</v>
      </c>
      <c r="D109" s="1"/>
      <c r="E109" s="1"/>
      <c r="F109" s="1"/>
    </row>
    <row r="110" spans="1:10" x14ac:dyDescent="0.25">
      <c r="B110" s="1" t="s">
        <v>692</v>
      </c>
      <c r="C110" s="1">
        <v>13700</v>
      </c>
      <c r="D110" s="1"/>
      <c r="E110" s="1"/>
      <c r="F110" s="1"/>
    </row>
    <row r="111" spans="1:10" x14ac:dyDescent="0.25">
      <c r="B111" s="1"/>
      <c r="C111" s="1">
        <f>SUM(C106:C110)</f>
        <v>1221800</v>
      </c>
      <c r="D111" s="1">
        <f>C111/13333.33</f>
        <v>91.63502290875573</v>
      </c>
      <c r="E111" s="1">
        <v>3000</v>
      </c>
      <c r="F111" s="5">
        <f>D111*E111</f>
        <v>274905.0687262672</v>
      </c>
    </row>
    <row r="114" spans="1:10" x14ac:dyDescent="0.25">
      <c r="B114" s="1" t="s">
        <v>693</v>
      </c>
      <c r="C114" s="1"/>
      <c r="D114" s="1"/>
      <c r="E114" s="1"/>
      <c r="F114" s="1"/>
      <c r="I114">
        <v>44.6</v>
      </c>
      <c r="J114">
        <v>1000</v>
      </c>
    </row>
    <row r="115" spans="1:10" x14ac:dyDescent="0.25">
      <c r="B115" s="1" t="s">
        <v>694</v>
      </c>
      <c r="C115" s="1"/>
      <c r="D115" s="1"/>
      <c r="E115" s="1"/>
      <c r="F115" s="1"/>
    </row>
    <row r="116" spans="1:10" x14ac:dyDescent="0.25">
      <c r="B116" s="1"/>
      <c r="C116" s="1"/>
      <c r="D116" s="1"/>
      <c r="E116" s="1"/>
      <c r="F116" s="1"/>
      <c r="H116">
        <f>80*60</f>
        <v>4800</v>
      </c>
    </row>
    <row r="117" spans="1:10" x14ac:dyDescent="0.25">
      <c r="B117" s="1" t="s">
        <v>695</v>
      </c>
      <c r="C117" s="1"/>
      <c r="D117" s="1"/>
      <c r="E117" s="1"/>
      <c r="F117" s="1"/>
      <c r="I117">
        <f>H120</f>
        <v>0</v>
      </c>
    </row>
    <row r="118" spans="1:10" x14ac:dyDescent="0.25">
      <c r="B118" s="1" t="s">
        <v>696</v>
      </c>
      <c r="C118" s="1">
        <v>313100</v>
      </c>
      <c r="D118" s="1"/>
      <c r="E118" s="1"/>
      <c r="F118" s="1"/>
    </row>
    <row r="119" spans="1:10" x14ac:dyDescent="0.25">
      <c r="B119" s="1" t="s">
        <v>697</v>
      </c>
      <c r="C119" s="1">
        <v>8650</v>
      </c>
      <c r="D119" s="1"/>
      <c r="E119" s="1"/>
      <c r="F119" s="1"/>
    </row>
    <row r="120" spans="1:10" x14ac:dyDescent="0.25">
      <c r="B120" s="1"/>
      <c r="C120" s="1">
        <f>SUM(C118:C119)</f>
        <v>321750</v>
      </c>
      <c r="D120" s="1">
        <f>C120/10000</f>
        <v>32.174999999999997</v>
      </c>
      <c r="E120" s="1">
        <v>70</v>
      </c>
      <c r="F120" s="1">
        <v>11311</v>
      </c>
    </row>
    <row r="123" spans="1:10" x14ac:dyDescent="0.25">
      <c r="C123">
        <f>C120/80</f>
        <v>4021.875</v>
      </c>
      <c r="D123">
        <f>C123/60</f>
        <v>67.03125</v>
      </c>
      <c r="E123">
        <f>D123/8</f>
        <v>8.37890625</v>
      </c>
      <c r="F123">
        <f>E123*450*3</f>
        <v>11311.5234375</v>
      </c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43">
        <v>0.125</v>
      </c>
      <c r="E126" s="144">
        <v>0.02</v>
      </c>
      <c r="F126" s="1" t="s">
        <v>698</v>
      </c>
      <c r="G126" s="1"/>
      <c r="H126" s="1"/>
      <c r="I126" s="1" t="s">
        <v>699</v>
      </c>
      <c r="J126" s="1"/>
    </row>
    <row r="127" spans="1:10" x14ac:dyDescent="0.25">
      <c r="A127" s="1">
        <v>1001438</v>
      </c>
      <c r="B127" s="1" t="s">
        <v>700</v>
      </c>
      <c r="C127" s="3">
        <v>6593</v>
      </c>
      <c r="D127" s="3">
        <f>C127*D126</f>
        <v>824.125</v>
      </c>
      <c r="E127" s="3">
        <f>(C127+D127)*E126</f>
        <v>148.3425</v>
      </c>
      <c r="F127" s="3">
        <v>0.25</v>
      </c>
      <c r="G127" s="3">
        <f>SUM(C127:F127)</f>
        <v>7565.7174999999997</v>
      </c>
      <c r="H127" s="1">
        <v>189000</v>
      </c>
      <c r="I127" s="1">
        <f>44640*100/H127</f>
        <v>23.61904761904762</v>
      </c>
      <c r="J127" s="1">
        <f>G127*242</f>
        <v>1830903.635</v>
      </c>
    </row>
    <row r="128" spans="1:10" x14ac:dyDescent="0.25">
      <c r="A128" s="1">
        <v>1001438</v>
      </c>
      <c r="B128" s="1" t="s">
        <v>700</v>
      </c>
      <c r="C128" s="5">
        <v>6250</v>
      </c>
      <c r="D128" s="144">
        <v>0.04</v>
      </c>
      <c r="E128" s="1">
        <f>C128*D128</f>
        <v>250</v>
      </c>
      <c r="F128" s="1"/>
      <c r="G128" s="1">
        <f>C128</f>
        <v>6250</v>
      </c>
      <c r="H128" s="1"/>
      <c r="I128" s="1"/>
      <c r="J128" s="1">
        <f>G128*242</f>
        <v>1512500</v>
      </c>
    </row>
    <row r="129" spans="1:10" x14ac:dyDescent="0.25">
      <c r="A129" s="1"/>
      <c r="B129" s="1">
        <f>242000/1000</f>
        <v>242</v>
      </c>
      <c r="C129" s="1"/>
      <c r="D129" s="1"/>
      <c r="E129" s="1"/>
      <c r="F129" s="1"/>
      <c r="G129" s="3">
        <f>G127-G128</f>
        <v>1315.7174999999997</v>
      </c>
      <c r="H129" s="1"/>
      <c r="I129" s="1"/>
      <c r="J129" s="1">
        <f>J127-J128</f>
        <v>318403.63500000001</v>
      </c>
    </row>
    <row r="130" spans="1:10" x14ac:dyDescent="0.25">
      <c r="A130" s="1"/>
      <c r="B130" s="145">
        <v>6313</v>
      </c>
      <c r="C130" s="1">
        <v>242000</v>
      </c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45">
        <v>6593</v>
      </c>
      <c r="C131" s="1"/>
      <c r="D131" s="1"/>
      <c r="E131" s="1"/>
      <c r="F131" s="1"/>
      <c r="G131" s="1">
        <f>G129*20</f>
        <v>26314.349999999995</v>
      </c>
      <c r="H131" s="1"/>
      <c r="I131" s="1"/>
      <c r="J131" s="1"/>
    </row>
    <row r="132" spans="1:10" x14ac:dyDescent="0.25">
      <c r="A132" s="1"/>
      <c r="B132" s="145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45">
        <v>6798</v>
      </c>
      <c r="C133" s="1"/>
      <c r="D133" s="1"/>
      <c r="E133" s="1"/>
      <c r="F133" s="1"/>
      <c r="G133" s="1"/>
      <c r="H133" s="1"/>
      <c r="I133" s="1"/>
      <c r="J133" s="1"/>
    </row>
    <row r="135" spans="1:10" x14ac:dyDescent="0.25">
      <c r="C135">
        <v>189000</v>
      </c>
    </row>
    <row r="136" spans="1:10" x14ac:dyDescent="0.25">
      <c r="C136">
        <f>C130</f>
        <v>242000</v>
      </c>
    </row>
    <row r="137" spans="1:10" x14ac:dyDescent="0.25">
      <c r="C137">
        <f>SUM(C135:C136)</f>
        <v>431000</v>
      </c>
    </row>
  </sheetData>
  <mergeCells count="2">
    <mergeCell ref="G56:J56"/>
    <mergeCell ref="K56:N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zoomScale="86" zoomScaleNormal="86" workbookViewId="0">
      <selection activeCell="B16" sqref="B16"/>
    </sheetView>
  </sheetViews>
  <sheetFormatPr defaultColWidth="19.7109375" defaultRowHeight="15" x14ac:dyDescent="0.25"/>
  <cols>
    <col min="2" max="2" width="21.5703125" bestFit="1" customWidth="1"/>
    <col min="3" max="3" width="34.5703125" style="29" customWidth="1"/>
    <col min="4" max="4" width="13.85546875" bestFit="1" customWidth="1"/>
    <col min="5" max="5" width="14.140625" customWidth="1"/>
    <col min="6" max="7" width="20.42578125" bestFit="1" customWidth="1"/>
    <col min="8" max="8" width="15.140625" customWidth="1"/>
    <col min="9" max="9" width="24" bestFit="1" customWidth="1"/>
    <col min="10" max="10" width="10.85546875" customWidth="1"/>
  </cols>
  <sheetData>
    <row r="2" spans="2:10" ht="21" x14ac:dyDescent="0.35">
      <c r="B2" s="71" t="s">
        <v>628</v>
      </c>
    </row>
    <row r="3" spans="2:10" ht="27" x14ac:dyDescent="0.25">
      <c r="B3" s="27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ht="27" x14ac:dyDescent="0.25">
      <c r="B4" s="131" t="s">
        <v>568</v>
      </c>
      <c r="C4" s="65" t="s">
        <v>99</v>
      </c>
      <c r="D4" s="105">
        <f>'Oct 2016'!D14</f>
        <v>556725</v>
      </c>
      <c r="E4" s="15" t="s">
        <v>39</v>
      </c>
      <c r="F4" s="15" t="s">
        <v>100</v>
      </c>
      <c r="G4" s="104"/>
      <c r="H4" s="104">
        <f>'Oct 2016'!J14</f>
        <v>8845.4799999999796</v>
      </c>
      <c r="I4" s="92" t="s">
        <v>101</v>
      </c>
      <c r="J4" s="23"/>
    </row>
    <row r="5" spans="2:10" ht="27" x14ac:dyDescent="0.25">
      <c r="B5" s="131" t="s">
        <v>569</v>
      </c>
      <c r="C5" s="65" t="s">
        <v>570</v>
      </c>
      <c r="D5" s="105">
        <f>'Oct 2016'!E14</f>
        <v>529100</v>
      </c>
      <c r="E5" s="15" t="s">
        <v>39</v>
      </c>
      <c r="F5" s="15" t="s">
        <v>571</v>
      </c>
      <c r="G5" s="104">
        <f>'Oct 2016'!N14</f>
        <v>2632.4000000000028</v>
      </c>
      <c r="H5" s="104"/>
      <c r="I5" s="92" t="s">
        <v>101</v>
      </c>
      <c r="J5" s="23" t="s">
        <v>48</v>
      </c>
    </row>
    <row r="6" spans="2:10" ht="27" x14ac:dyDescent="0.25">
      <c r="B6" s="30" t="s">
        <v>98</v>
      </c>
      <c r="C6" s="65" t="s">
        <v>102</v>
      </c>
      <c r="D6" s="105">
        <f>'Oct 2016'!F38</f>
        <v>14533</v>
      </c>
      <c r="E6" s="15" t="s">
        <v>23</v>
      </c>
      <c r="F6" s="15" t="s">
        <v>103</v>
      </c>
      <c r="G6" s="104"/>
      <c r="H6" s="104">
        <f>'Oct 2016'!J38</f>
        <v>41004.949999999939</v>
      </c>
      <c r="I6" s="92" t="s">
        <v>101</v>
      </c>
      <c r="J6" s="23" t="s">
        <v>48</v>
      </c>
    </row>
    <row r="7" spans="2:10" x14ac:dyDescent="0.25">
      <c r="B7" s="30" t="s">
        <v>299</v>
      </c>
      <c r="C7" s="65" t="s">
        <v>418</v>
      </c>
      <c r="D7" s="105">
        <f>'Oct 2016'!F46</f>
        <v>40500</v>
      </c>
      <c r="E7" s="15" t="s">
        <v>29</v>
      </c>
      <c r="F7" s="15" t="s">
        <v>419</v>
      </c>
      <c r="G7" s="104">
        <f>'Oct 2016'!J46</f>
        <v>15337.5</v>
      </c>
      <c r="H7" s="104"/>
      <c r="I7" s="92" t="s">
        <v>301</v>
      </c>
      <c r="J7" s="23" t="s">
        <v>48</v>
      </c>
    </row>
    <row r="8" spans="2:10" ht="27" x14ac:dyDescent="0.25">
      <c r="B8" s="30" t="s">
        <v>308</v>
      </c>
      <c r="C8" s="72" t="s">
        <v>30</v>
      </c>
      <c r="D8" s="105">
        <f>'SEP2016'!F161</f>
        <v>511.2</v>
      </c>
      <c r="E8" s="15" t="s">
        <v>23</v>
      </c>
      <c r="F8" s="15" t="s">
        <v>307</v>
      </c>
      <c r="G8" s="104">
        <f>'SEP2016'!J161</f>
        <v>3476.1600000000058</v>
      </c>
      <c r="H8" s="104"/>
      <c r="I8" s="92" t="s">
        <v>97</v>
      </c>
      <c r="J8" s="23" t="s">
        <v>48</v>
      </c>
    </row>
    <row r="9" spans="2:10" x14ac:dyDescent="0.25">
      <c r="B9" s="62" t="s">
        <v>572</v>
      </c>
      <c r="C9" s="62" t="s">
        <v>47</v>
      </c>
      <c r="D9" s="55">
        <f>'Oct 2016'!D73</f>
        <v>563140</v>
      </c>
      <c r="E9" s="56" t="s">
        <v>29</v>
      </c>
      <c r="F9" s="56" t="s">
        <v>55</v>
      </c>
      <c r="G9" s="88">
        <f>'Oct 2016'!J73</f>
        <v>78251.199999999997</v>
      </c>
      <c r="H9" s="88"/>
      <c r="I9" s="79" t="s">
        <v>41</v>
      </c>
      <c r="J9" s="58" t="s">
        <v>48</v>
      </c>
    </row>
    <row r="10" spans="2:10" ht="27.75" x14ac:dyDescent="0.25">
      <c r="B10" s="62" t="s">
        <v>575</v>
      </c>
      <c r="C10" s="62" t="s">
        <v>573</v>
      </c>
      <c r="D10" s="55">
        <f>'Oct 2016'!F73</f>
        <v>477800</v>
      </c>
      <c r="E10" s="56" t="s">
        <v>29</v>
      </c>
      <c r="F10" s="56" t="s">
        <v>574</v>
      </c>
      <c r="G10" s="88">
        <f>'Oct 2016'!N73</f>
        <v>43172</v>
      </c>
      <c r="H10" s="88"/>
      <c r="I10" s="79" t="s">
        <v>41</v>
      </c>
      <c r="J10" s="58"/>
    </row>
    <row r="11" spans="2:10" x14ac:dyDescent="0.25">
      <c r="B11" s="62" t="s">
        <v>576</v>
      </c>
      <c r="C11" s="62" t="s">
        <v>629</v>
      </c>
      <c r="D11" s="84">
        <f>'Oct 2016'!D79</f>
        <v>48840</v>
      </c>
      <c r="E11" s="56" t="s">
        <v>25</v>
      </c>
      <c r="F11" s="56" t="s">
        <v>578</v>
      </c>
      <c r="G11" s="84">
        <f>'Oct 2016'!J79</f>
        <v>10012.200000000001</v>
      </c>
      <c r="H11" s="84"/>
      <c r="I11" s="96" t="s">
        <v>579</v>
      </c>
      <c r="J11" s="58"/>
    </row>
    <row r="12" spans="2:10" x14ac:dyDescent="0.25">
      <c r="B12" s="140">
        <v>42644</v>
      </c>
      <c r="C12" s="62" t="s">
        <v>646</v>
      </c>
      <c r="D12" s="139">
        <v>77.400000000000006</v>
      </c>
      <c r="E12" s="56" t="s">
        <v>46</v>
      </c>
      <c r="F12" s="56" t="s">
        <v>303</v>
      </c>
      <c r="G12" s="88"/>
      <c r="H12" s="88">
        <f>D12*3000</f>
        <v>232200.00000000003</v>
      </c>
      <c r="I12" s="79"/>
      <c r="J12" s="58" t="s">
        <v>49</v>
      </c>
    </row>
    <row r="13" spans="2:10" ht="30" x14ac:dyDescent="0.25">
      <c r="B13" s="69" t="s">
        <v>630</v>
      </c>
      <c r="C13" s="62" t="s">
        <v>631</v>
      </c>
      <c r="D13" s="55">
        <f>'Oct 2016'!D91</f>
        <v>1650196</v>
      </c>
      <c r="E13" s="56" t="s">
        <v>25</v>
      </c>
      <c r="F13" s="56" t="s">
        <v>634</v>
      </c>
      <c r="G13" s="88">
        <f>'Oct 2016'!J91</f>
        <v>19873.548000000003</v>
      </c>
      <c r="H13" s="88"/>
      <c r="I13" s="79" t="s">
        <v>633</v>
      </c>
      <c r="J13" s="58" t="s">
        <v>48</v>
      </c>
    </row>
    <row r="14" spans="2:10" x14ac:dyDescent="0.25">
      <c r="B14" s="69" t="s">
        <v>630</v>
      </c>
      <c r="C14" s="62" t="s">
        <v>632</v>
      </c>
      <c r="D14" s="55">
        <f>'Oct 2016'!D92</f>
        <v>25000</v>
      </c>
      <c r="E14" s="56" t="s">
        <v>25</v>
      </c>
      <c r="F14" s="56" t="s">
        <v>635</v>
      </c>
      <c r="G14" s="88">
        <f>'Oct 2016'!J92</f>
        <v>24575.000000000004</v>
      </c>
      <c r="H14" s="88"/>
      <c r="I14" s="79" t="s">
        <v>633</v>
      </c>
      <c r="J14" s="58" t="s">
        <v>48</v>
      </c>
    </row>
    <row r="15" spans="2:10" ht="30" x14ac:dyDescent="0.25">
      <c r="B15" s="69" t="s">
        <v>630</v>
      </c>
      <c r="C15" s="62" t="s">
        <v>638</v>
      </c>
      <c r="D15" s="55">
        <v>3037</v>
      </c>
      <c r="E15" s="56" t="s">
        <v>25</v>
      </c>
      <c r="F15" s="56" t="s">
        <v>636</v>
      </c>
      <c r="G15" s="88">
        <f>'Oct 2016'!J103</f>
        <v>51037.599999999999</v>
      </c>
      <c r="H15" s="88"/>
      <c r="I15" s="79" t="s">
        <v>637</v>
      </c>
      <c r="J15" s="58" t="s">
        <v>48</v>
      </c>
    </row>
    <row r="16" spans="2:10" ht="30" x14ac:dyDescent="0.25">
      <c r="B16" s="138" t="s">
        <v>645</v>
      </c>
      <c r="C16" s="62" t="s">
        <v>639</v>
      </c>
      <c r="D16" s="55">
        <f>'Oct 2016'!D106</f>
        <v>51000</v>
      </c>
      <c r="E16" s="56"/>
      <c r="F16" s="137" t="s">
        <v>643</v>
      </c>
      <c r="G16" s="88">
        <f>'Oct 2016'!J108</f>
        <v>12750</v>
      </c>
      <c r="H16" s="88">
        <f>0.38*D16</f>
        <v>19380</v>
      </c>
      <c r="I16" s="79" t="s">
        <v>644</v>
      </c>
      <c r="J16" s="58" t="s">
        <v>48</v>
      </c>
    </row>
    <row r="17" spans="2:10" x14ac:dyDescent="0.25">
      <c r="B17" s="69" t="s">
        <v>630</v>
      </c>
      <c r="C17" s="62" t="s">
        <v>641</v>
      </c>
      <c r="D17" s="55">
        <f>'Oct 2016'!D112</f>
        <v>2700</v>
      </c>
      <c r="E17" s="56"/>
      <c r="F17" s="56" t="s">
        <v>642</v>
      </c>
      <c r="G17" s="88">
        <f>'Oct 2016'!J112</f>
        <v>7218.0990000000002</v>
      </c>
      <c r="H17" s="88"/>
      <c r="I17" s="79" t="s">
        <v>648</v>
      </c>
      <c r="J17" s="58" t="s">
        <v>48</v>
      </c>
    </row>
    <row r="18" spans="2:10" x14ac:dyDescent="0.25">
      <c r="B18" s="69" t="s">
        <v>630</v>
      </c>
      <c r="C18" s="62" t="s">
        <v>640</v>
      </c>
      <c r="D18" s="55">
        <f>'Oct 2016'!D115</f>
        <v>283.24</v>
      </c>
      <c r="E18" s="56"/>
      <c r="F18" s="56">
        <v>8.64</v>
      </c>
      <c r="G18" s="88">
        <f>'Oct 2016'!J115</f>
        <v>2447.1935999999964</v>
      </c>
      <c r="H18" s="88"/>
      <c r="I18" s="79" t="s">
        <v>647</v>
      </c>
      <c r="J18" s="58" t="s">
        <v>48</v>
      </c>
    </row>
    <row r="19" spans="2:10" ht="19.5" x14ac:dyDescent="0.25">
      <c r="B19" s="19"/>
      <c r="C19" s="201" t="s">
        <v>42</v>
      </c>
      <c r="D19" s="202"/>
      <c r="E19" s="31"/>
      <c r="F19" s="31"/>
      <c r="G19" s="93">
        <f>SUM(G4:G18)</f>
        <v>270782.90060000005</v>
      </c>
      <c r="H19" s="93">
        <f>SUM(H4:H18)</f>
        <v>301430.42999999993</v>
      </c>
      <c r="I19" s="94">
        <f>G19+H19</f>
        <v>572213.33059999999</v>
      </c>
      <c r="J19" s="23"/>
    </row>
    <row r="20" spans="2:10" x14ac:dyDescent="0.25">
      <c r="F20" s="141">
        <f>G18+'Consol NOV2016'!G14+'Consol DEC2016'!G12</f>
        <v>29707.343999999954</v>
      </c>
    </row>
    <row r="26" spans="2:10" x14ac:dyDescent="0.25">
      <c r="C26" t="s">
        <v>294</v>
      </c>
      <c r="D26" s="18">
        <f>H12+'YTD FY2016-17 JUL2016'!H14</f>
        <v>510354.06953851739</v>
      </c>
      <c r="E26">
        <v>510354</v>
      </c>
    </row>
    <row r="27" spans="2:10" x14ac:dyDescent="0.25">
      <c r="C27" t="s">
        <v>649</v>
      </c>
      <c r="D27" s="18">
        <f>'Q2JUL-SEP2016'!H19+'YTD FY2016-17 JUL2016'!G13+'Consol JUNE2016'!G9+'Consol May2016'!G8</f>
        <v>175819.78571428574</v>
      </c>
      <c r="E27">
        <v>175820</v>
      </c>
    </row>
    <row r="28" spans="2:10" x14ac:dyDescent="0.25">
      <c r="E28">
        <f>SUM(E26:E27)</f>
        <v>686174</v>
      </c>
    </row>
    <row r="31" spans="2:10" x14ac:dyDescent="0.25">
      <c r="C31" s="29" t="s">
        <v>650</v>
      </c>
      <c r="D31" s="104">
        <v>224896</v>
      </c>
      <c r="E31" t="s">
        <v>652</v>
      </c>
    </row>
    <row r="32" spans="2:10" x14ac:dyDescent="0.25">
      <c r="D32" s="106">
        <v>62708</v>
      </c>
      <c r="E32" t="s">
        <v>651</v>
      </c>
    </row>
    <row r="33" spans="3:6" x14ac:dyDescent="0.25">
      <c r="D33" s="104">
        <v>141626</v>
      </c>
      <c r="E33" t="s">
        <v>653</v>
      </c>
    </row>
    <row r="34" spans="3:6" x14ac:dyDescent="0.25">
      <c r="D34" s="141">
        <f>SUM(D31:D33)</f>
        <v>429230</v>
      </c>
      <c r="F34" s="142">
        <f>D34+E28</f>
        <v>1115404</v>
      </c>
    </row>
    <row r="35" spans="3:6" x14ac:dyDescent="0.25">
      <c r="C35" s="29" t="s">
        <v>654</v>
      </c>
    </row>
    <row r="36" spans="3:6" x14ac:dyDescent="0.25">
      <c r="C36" s="29" t="s">
        <v>323</v>
      </c>
      <c r="D36">
        <v>125068</v>
      </c>
      <c r="E36" t="s">
        <v>21</v>
      </c>
      <c r="F36">
        <v>54.17</v>
      </c>
    </row>
    <row r="37" spans="3:6" x14ac:dyDescent="0.25">
      <c r="C37" s="29" t="s">
        <v>655</v>
      </c>
      <c r="D37">
        <v>58080</v>
      </c>
      <c r="F37">
        <f>-11.5-1.83</f>
        <v>-13.33</v>
      </c>
    </row>
    <row r="38" spans="3:6" x14ac:dyDescent="0.25">
      <c r="D38">
        <f>SUM(D36:D37)</f>
        <v>183148</v>
      </c>
      <c r="F38" s="6">
        <f>SUM(F36:F37)</f>
        <v>40.840000000000003</v>
      </c>
    </row>
  </sheetData>
  <mergeCells count="1">
    <mergeCell ref="C19:D1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6"/>
  <sheetViews>
    <sheetView topLeftCell="A89" workbookViewId="0">
      <selection activeCell="G7" sqref="G7:J7"/>
    </sheetView>
  </sheetViews>
  <sheetFormatPr defaultRowHeight="15" x14ac:dyDescent="0.25"/>
  <cols>
    <col min="1" max="1" width="10.140625" bestFit="1" customWidth="1"/>
    <col min="2" max="2" width="41.140625" bestFit="1" customWidth="1"/>
    <col min="3" max="3" width="11" bestFit="1" customWidth="1"/>
    <col min="5" max="5" width="14.140625" bestFit="1" customWidth="1"/>
    <col min="6" max="6" width="12.5703125" bestFit="1" customWidth="1"/>
    <col min="7" max="8" width="13.42578125" bestFit="1" customWidth="1"/>
    <col min="9" max="9" width="11.85546875" bestFit="1" customWidth="1"/>
    <col min="10" max="10" width="10.5703125" bestFit="1" customWidth="1"/>
    <col min="11" max="11" width="12.85546875" bestFit="1" customWidth="1"/>
    <col min="12" max="13" width="16.140625" bestFit="1" customWidth="1"/>
    <col min="14" max="14" width="12" bestFit="1" customWidth="1"/>
  </cols>
  <sheetData>
    <row r="3" spans="1:16" x14ac:dyDescent="0.25">
      <c r="A3" s="1" t="s">
        <v>167</v>
      </c>
      <c r="B3" s="1" t="s">
        <v>169</v>
      </c>
      <c r="C3" s="1"/>
      <c r="D3" s="1" t="s">
        <v>22</v>
      </c>
      <c r="E3" s="1" t="s">
        <v>593</v>
      </c>
      <c r="F3" s="1" t="s">
        <v>592</v>
      </c>
      <c r="G3" s="1" t="s">
        <v>50</v>
      </c>
      <c r="H3" s="1" t="s">
        <v>466</v>
      </c>
      <c r="I3" s="1" t="s">
        <v>52</v>
      </c>
      <c r="J3" s="1" t="s">
        <v>21</v>
      </c>
      <c r="K3" s="4" t="s">
        <v>506</v>
      </c>
      <c r="L3" s="4" t="s">
        <v>507</v>
      </c>
      <c r="M3" s="1" t="s">
        <v>505</v>
      </c>
      <c r="N3" s="1" t="s">
        <v>504</v>
      </c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6" x14ac:dyDescent="0.25">
      <c r="A5" s="1">
        <v>1001544</v>
      </c>
      <c r="B5" s="1" t="s">
        <v>589</v>
      </c>
      <c r="C5" s="1"/>
      <c r="D5" s="2">
        <v>68200</v>
      </c>
      <c r="E5" s="2">
        <v>68200</v>
      </c>
      <c r="F5" s="1">
        <v>5000253474</v>
      </c>
      <c r="G5" s="1">
        <v>161.4</v>
      </c>
      <c r="H5" s="40">
        <v>167.54</v>
      </c>
      <c r="I5" s="3">
        <f t="shared" ref="I5" si="0">H5-G5</f>
        <v>6.1399999999999864</v>
      </c>
      <c r="J5" s="1">
        <f>I5*E5/325</f>
        <v>1288.4553846153817</v>
      </c>
      <c r="K5" s="3">
        <v>319</v>
      </c>
      <c r="L5" s="1">
        <f t="shared" ref="L5" si="1">G5*2</f>
        <v>322.8</v>
      </c>
      <c r="M5" s="3">
        <f t="shared" ref="M5" si="2">L5-K5</f>
        <v>3.8000000000000114</v>
      </c>
      <c r="N5" s="1">
        <f t="shared" ref="N5" si="3">M5/650*E5</f>
        <v>398.70769230769349</v>
      </c>
    </row>
    <row r="6" spans="1:16" x14ac:dyDescent="0.25">
      <c r="A6" s="1">
        <v>1001544</v>
      </c>
      <c r="B6" s="1" t="s">
        <v>589</v>
      </c>
      <c r="C6" s="1"/>
      <c r="D6" s="2">
        <v>10450</v>
      </c>
      <c r="E6" s="2">
        <v>10450</v>
      </c>
      <c r="F6" s="1">
        <v>5000253474</v>
      </c>
      <c r="G6" s="1">
        <v>161.4</v>
      </c>
      <c r="H6" s="40">
        <v>167.54</v>
      </c>
      <c r="I6" s="3">
        <f t="shared" ref="I6" si="4">H6-G6</f>
        <v>6.1399999999999864</v>
      </c>
      <c r="J6" s="1">
        <f>I6*E6/325</f>
        <v>197.42461538461492</v>
      </c>
      <c r="K6" s="3">
        <v>319</v>
      </c>
      <c r="L6" s="1">
        <f t="shared" ref="L6" si="5">G6*2</f>
        <v>322.8</v>
      </c>
      <c r="M6" s="3">
        <f t="shared" ref="M6" si="6">L6-K6</f>
        <v>3.8000000000000114</v>
      </c>
      <c r="N6" s="1">
        <f t="shared" ref="N6" si="7">M6/650*E6</f>
        <v>61.092307692307877</v>
      </c>
    </row>
    <row r="7" spans="1:16" x14ac:dyDescent="0.25">
      <c r="A7" s="1">
        <v>1002864</v>
      </c>
      <c r="B7" s="1" t="s">
        <v>482</v>
      </c>
      <c r="C7" s="1"/>
      <c r="D7" s="2">
        <v>27625</v>
      </c>
      <c r="E7" s="2">
        <v>27625</v>
      </c>
      <c r="F7" s="1">
        <v>5000255652</v>
      </c>
      <c r="G7" s="3">
        <v>150</v>
      </c>
      <c r="H7" s="3">
        <v>153</v>
      </c>
      <c r="I7" s="3">
        <f t="shared" ref="I7" si="8">H7-G7</f>
        <v>3</v>
      </c>
      <c r="J7" s="3">
        <f t="shared" ref="J7" si="9">I7*E7/325</f>
        <v>255</v>
      </c>
      <c r="K7" s="1"/>
      <c r="L7" s="1"/>
      <c r="M7" s="1"/>
      <c r="N7" s="1"/>
    </row>
    <row r="8" spans="1:16" x14ac:dyDescent="0.25">
      <c r="A8" s="1">
        <v>1002947</v>
      </c>
      <c r="B8" s="1" t="s">
        <v>474</v>
      </c>
      <c r="C8" s="1"/>
      <c r="D8" s="2">
        <v>156000</v>
      </c>
      <c r="E8" s="2">
        <v>156000</v>
      </c>
      <c r="F8" s="1">
        <v>5000255652</v>
      </c>
      <c r="G8" s="3">
        <v>134.5</v>
      </c>
      <c r="H8" s="3">
        <v>139.41999999999999</v>
      </c>
      <c r="I8" s="3">
        <f t="shared" ref="I8" si="10">H8-G8</f>
        <v>4.9199999999999875</v>
      </c>
      <c r="J8" s="3">
        <f t="shared" ref="J8" si="11">I8*E8/325</f>
        <v>2361.599999999994</v>
      </c>
      <c r="K8" s="3">
        <v>266</v>
      </c>
      <c r="L8" s="1">
        <f t="shared" ref="L8" si="12">G8*2</f>
        <v>269</v>
      </c>
      <c r="M8" s="3">
        <f t="shared" ref="M8" si="13">L8-K8</f>
        <v>3</v>
      </c>
      <c r="N8" s="1">
        <f t="shared" ref="N8" si="14">M8/650*E8</f>
        <v>720.00000000000011</v>
      </c>
    </row>
    <row r="9" spans="1:16" x14ac:dyDescent="0.25">
      <c r="A9" s="1">
        <v>1002947</v>
      </c>
      <c r="B9" s="1" t="s">
        <v>474</v>
      </c>
      <c r="C9" s="1"/>
      <c r="D9" s="2">
        <v>43300</v>
      </c>
      <c r="E9" s="2">
        <v>43300</v>
      </c>
      <c r="F9" s="1">
        <v>5000253474</v>
      </c>
      <c r="G9" s="3">
        <v>134.5</v>
      </c>
      <c r="H9" s="3">
        <v>139.41999999999999</v>
      </c>
      <c r="I9" s="3">
        <f t="shared" ref="I9:I11" si="15">H9-G9</f>
        <v>4.9199999999999875</v>
      </c>
      <c r="J9" s="3">
        <f t="shared" ref="J9:J11" si="16">I9*E9/325</f>
        <v>655.49538461538293</v>
      </c>
      <c r="K9" s="3">
        <v>266</v>
      </c>
      <c r="L9" s="1">
        <f t="shared" ref="L9:L11" si="17">G9*2</f>
        <v>269</v>
      </c>
      <c r="M9" s="3">
        <f t="shared" ref="M9:M11" si="18">L9-K9</f>
        <v>3</v>
      </c>
      <c r="N9" s="1">
        <f t="shared" ref="N9:N11" si="19">M9/650*E9</f>
        <v>199.84615384615387</v>
      </c>
    </row>
    <row r="10" spans="1:16" x14ac:dyDescent="0.25">
      <c r="A10" s="1">
        <v>1002947</v>
      </c>
      <c r="B10" s="1" t="s">
        <v>474</v>
      </c>
      <c r="C10" s="1"/>
      <c r="D10" s="2">
        <v>19100</v>
      </c>
      <c r="E10" s="2">
        <v>19100</v>
      </c>
      <c r="F10" s="1">
        <v>5000253474</v>
      </c>
      <c r="G10" s="3">
        <v>134.5</v>
      </c>
      <c r="H10" s="3">
        <v>139.41999999999999</v>
      </c>
      <c r="I10" s="3">
        <f t="shared" si="15"/>
        <v>4.9199999999999875</v>
      </c>
      <c r="J10" s="3">
        <f t="shared" si="16"/>
        <v>289.14461538461467</v>
      </c>
      <c r="K10" s="3">
        <v>266</v>
      </c>
      <c r="L10" s="1">
        <f t="shared" si="17"/>
        <v>269</v>
      </c>
      <c r="M10" s="3">
        <f t="shared" si="18"/>
        <v>3</v>
      </c>
      <c r="N10" s="1">
        <f t="shared" si="19"/>
        <v>88.15384615384616</v>
      </c>
    </row>
    <row r="11" spans="1:16" x14ac:dyDescent="0.25">
      <c r="A11" s="1">
        <v>1002947</v>
      </c>
      <c r="B11" s="1" t="s">
        <v>474</v>
      </c>
      <c r="C11" s="1"/>
      <c r="D11" s="2">
        <v>156000</v>
      </c>
      <c r="E11" s="2">
        <v>156000</v>
      </c>
      <c r="F11" s="1">
        <v>5000251502</v>
      </c>
      <c r="G11" s="3">
        <v>134.5</v>
      </c>
      <c r="H11" s="3">
        <v>139.41999999999999</v>
      </c>
      <c r="I11" s="3">
        <f t="shared" si="15"/>
        <v>4.9199999999999875</v>
      </c>
      <c r="J11" s="3">
        <f t="shared" si="16"/>
        <v>2361.599999999994</v>
      </c>
      <c r="K11" s="3">
        <v>266</v>
      </c>
      <c r="L11" s="1">
        <f t="shared" si="17"/>
        <v>269</v>
      </c>
      <c r="M11" s="3">
        <f t="shared" si="18"/>
        <v>3</v>
      </c>
      <c r="N11" s="1">
        <f t="shared" si="19"/>
        <v>720.00000000000011</v>
      </c>
    </row>
    <row r="12" spans="1:16" x14ac:dyDescent="0.25">
      <c r="A12" s="1">
        <v>1003043</v>
      </c>
      <c r="B12" s="1" t="s">
        <v>543</v>
      </c>
      <c r="C12" s="1"/>
      <c r="D12" s="2">
        <v>76050</v>
      </c>
      <c r="E12" s="2">
        <v>76050</v>
      </c>
      <c r="F12" s="1">
        <v>5000251502</v>
      </c>
      <c r="G12" s="3">
        <v>161.4</v>
      </c>
      <c r="H12" s="3">
        <v>167.54</v>
      </c>
      <c r="I12" s="3">
        <f t="shared" ref="I12" si="20">H12-G12</f>
        <v>6.1399999999999864</v>
      </c>
      <c r="J12" s="3">
        <f t="shared" ref="J12" si="21">I12*E12/325</f>
        <v>1436.7599999999968</v>
      </c>
      <c r="K12" s="3">
        <v>319</v>
      </c>
      <c r="L12" s="1">
        <f t="shared" ref="L12" si="22">G12*2</f>
        <v>322.8</v>
      </c>
      <c r="M12" s="3">
        <f t="shared" ref="M12" si="23">L12-K12</f>
        <v>3.8000000000000114</v>
      </c>
      <c r="N12" s="1">
        <f t="shared" ref="N12" si="24">M12/650*E12</f>
        <v>444.60000000000133</v>
      </c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6" x14ac:dyDescent="0.25">
      <c r="A14" s="1"/>
      <c r="B14" s="1"/>
      <c r="C14" s="1"/>
      <c r="D14" s="2">
        <f>SUM(D5:D13)</f>
        <v>556725</v>
      </c>
      <c r="E14" s="2">
        <f>D14-E7</f>
        <v>529100</v>
      </c>
      <c r="F14" s="1"/>
      <c r="G14" s="1"/>
      <c r="H14" s="1"/>
      <c r="I14" s="1" t="s">
        <v>58</v>
      </c>
      <c r="J14" s="1">
        <f>SUM(J5:J12)</f>
        <v>8845.4799999999796</v>
      </c>
      <c r="K14" s="1"/>
      <c r="L14" s="1"/>
      <c r="M14" s="1"/>
      <c r="N14" s="1">
        <f>SUM(N5:N12)</f>
        <v>2632.4000000000028</v>
      </c>
      <c r="P14">
        <f>N14+J14+J38+J46+J73+N73+J79+S100+J93+S111+J103+J108+J112</f>
        <v>270261.42899999995</v>
      </c>
    </row>
    <row r="15" spans="1:1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f>J14+N14</f>
        <v>11477.879999999983</v>
      </c>
      <c r="M15" s="8"/>
      <c r="N15" s="8"/>
    </row>
    <row r="17" spans="1:10" x14ac:dyDescent="0.25">
      <c r="A17" t="s">
        <v>438</v>
      </c>
      <c r="B17" t="s">
        <v>169</v>
      </c>
      <c r="C17" t="s">
        <v>172</v>
      </c>
      <c r="E17" t="s">
        <v>594</v>
      </c>
      <c r="F17" t="s">
        <v>38</v>
      </c>
      <c r="G17" s="1" t="s">
        <v>276</v>
      </c>
      <c r="H17" s="1" t="s">
        <v>170</v>
      </c>
      <c r="I17" s="1" t="s">
        <v>52</v>
      </c>
      <c r="J17" s="1" t="s">
        <v>21</v>
      </c>
    </row>
    <row r="18" spans="1:10" x14ac:dyDescent="0.25">
      <c r="A18" s="1">
        <v>1000538</v>
      </c>
      <c r="B18" s="1" t="s">
        <v>88</v>
      </c>
      <c r="C18" s="1">
        <v>5000251193</v>
      </c>
      <c r="D18" s="1">
        <v>47.12</v>
      </c>
      <c r="E18" s="1" t="s">
        <v>585</v>
      </c>
      <c r="F18" s="1">
        <v>47.12</v>
      </c>
      <c r="G18" s="1">
        <v>72.5</v>
      </c>
      <c r="H18" s="1">
        <v>75.349999999999994</v>
      </c>
      <c r="I18" s="1">
        <f>H18-G18</f>
        <v>2.8499999999999943</v>
      </c>
      <c r="J18" s="1">
        <f>F18*I18</f>
        <v>134.29199999999972</v>
      </c>
    </row>
    <row r="19" spans="1:10" x14ac:dyDescent="0.25">
      <c r="A19" s="1">
        <v>1000538</v>
      </c>
      <c r="B19" s="1" t="s">
        <v>88</v>
      </c>
      <c r="C19" s="1">
        <v>5000251193</v>
      </c>
      <c r="D19" s="2">
        <v>1000</v>
      </c>
      <c r="E19" s="1" t="s">
        <v>585</v>
      </c>
      <c r="F19" s="2">
        <v>1000</v>
      </c>
      <c r="G19" s="1">
        <v>72.5</v>
      </c>
      <c r="H19" s="1">
        <v>75.349999999999994</v>
      </c>
      <c r="I19" s="1">
        <f t="shared" ref="I19:I21" si="25">H19-G19</f>
        <v>2.8499999999999943</v>
      </c>
      <c r="J19" s="1">
        <f t="shared" ref="J19:J21" si="26">F19*I19</f>
        <v>2849.9999999999945</v>
      </c>
    </row>
    <row r="20" spans="1:10" x14ac:dyDescent="0.25">
      <c r="A20" s="1">
        <v>1000538</v>
      </c>
      <c r="B20" s="1" t="s">
        <v>88</v>
      </c>
      <c r="C20" s="1">
        <v>5000251193</v>
      </c>
      <c r="D20" s="1">
        <v>300</v>
      </c>
      <c r="E20" s="1" t="s">
        <v>585</v>
      </c>
      <c r="F20" s="1">
        <v>300</v>
      </c>
      <c r="G20" s="1">
        <v>72.5</v>
      </c>
      <c r="H20" s="1">
        <v>75.349999999999994</v>
      </c>
      <c r="I20" s="1">
        <f t="shared" si="25"/>
        <v>2.8499999999999943</v>
      </c>
      <c r="J20" s="1">
        <f t="shared" si="26"/>
        <v>854.99999999999829</v>
      </c>
    </row>
    <row r="21" spans="1:10" x14ac:dyDescent="0.25">
      <c r="A21" s="1">
        <v>1000538</v>
      </c>
      <c r="B21" s="1" t="s">
        <v>88</v>
      </c>
      <c r="C21" s="1">
        <v>5000251193</v>
      </c>
      <c r="D21" s="1">
        <v>408.88</v>
      </c>
      <c r="E21" s="1" t="s">
        <v>585</v>
      </c>
      <c r="F21" s="1">
        <v>408.88</v>
      </c>
      <c r="G21" s="1">
        <v>72.5</v>
      </c>
      <c r="H21" s="1">
        <v>75.349999999999994</v>
      </c>
      <c r="I21" s="1">
        <f t="shared" si="25"/>
        <v>2.8499999999999943</v>
      </c>
      <c r="J21" s="1">
        <f t="shared" si="26"/>
        <v>1165.3079999999977</v>
      </c>
    </row>
    <row r="22" spans="1:10" x14ac:dyDescent="0.25">
      <c r="A22" s="1">
        <v>1000719</v>
      </c>
      <c r="B22" s="1" t="s">
        <v>484</v>
      </c>
      <c r="C22" s="1">
        <v>5000252597</v>
      </c>
      <c r="D22" s="2">
        <v>1255</v>
      </c>
      <c r="E22" s="1" t="s">
        <v>586</v>
      </c>
      <c r="F22" s="2">
        <v>1255</v>
      </c>
      <c r="G22" s="1">
        <v>72.5</v>
      </c>
      <c r="H22" s="1">
        <v>75.349999999999994</v>
      </c>
      <c r="I22" s="1">
        <f t="shared" ref="I22:I25" si="27">H22-G22</f>
        <v>2.8499999999999943</v>
      </c>
      <c r="J22" s="1">
        <f t="shared" ref="J22:J25" si="28">F22*I22</f>
        <v>3576.7499999999927</v>
      </c>
    </row>
    <row r="23" spans="1:10" x14ac:dyDescent="0.25">
      <c r="A23" s="1">
        <v>1000719</v>
      </c>
      <c r="B23" s="1" t="s">
        <v>484</v>
      </c>
      <c r="C23" s="1">
        <v>5000252831</v>
      </c>
      <c r="D23" s="1">
        <v>549</v>
      </c>
      <c r="E23" s="1" t="s">
        <v>587</v>
      </c>
      <c r="F23" s="1">
        <v>549</v>
      </c>
      <c r="G23" s="1">
        <v>72.5</v>
      </c>
      <c r="H23" s="1">
        <v>75.349999999999994</v>
      </c>
      <c r="I23" s="1">
        <f t="shared" si="27"/>
        <v>2.8499999999999943</v>
      </c>
      <c r="J23" s="1">
        <f t="shared" si="28"/>
        <v>1564.6499999999969</v>
      </c>
    </row>
    <row r="24" spans="1:10" x14ac:dyDescent="0.25">
      <c r="A24" s="1">
        <v>1000719</v>
      </c>
      <c r="B24" s="1" t="s">
        <v>484</v>
      </c>
      <c r="C24" s="1">
        <v>5000252831</v>
      </c>
      <c r="D24" s="2">
        <v>1000</v>
      </c>
      <c r="E24" s="1" t="s">
        <v>587</v>
      </c>
      <c r="F24" s="2">
        <v>1000</v>
      </c>
      <c r="G24" s="1">
        <v>72.5</v>
      </c>
      <c r="H24" s="1">
        <v>75.349999999999994</v>
      </c>
      <c r="I24" s="1">
        <f t="shared" si="27"/>
        <v>2.8499999999999943</v>
      </c>
      <c r="J24" s="1">
        <f t="shared" si="28"/>
        <v>2849.9999999999945</v>
      </c>
    </row>
    <row r="25" spans="1:10" x14ac:dyDescent="0.25">
      <c r="A25" s="1">
        <v>1000719</v>
      </c>
      <c r="B25" s="1" t="s">
        <v>484</v>
      </c>
      <c r="C25" s="1">
        <v>5000251193</v>
      </c>
      <c r="D25" s="2">
        <v>2262</v>
      </c>
      <c r="E25" s="1" t="s">
        <v>585</v>
      </c>
      <c r="F25" s="2">
        <v>2262</v>
      </c>
      <c r="G25" s="1">
        <v>72.5</v>
      </c>
      <c r="H25" s="1">
        <v>75.349999999999994</v>
      </c>
      <c r="I25" s="1">
        <f t="shared" si="27"/>
        <v>2.8499999999999943</v>
      </c>
      <c r="J25" s="1">
        <f t="shared" si="28"/>
        <v>6446.6999999999871</v>
      </c>
    </row>
    <row r="26" spans="1:10" x14ac:dyDescent="0.25">
      <c r="A26" s="1">
        <v>1001263</v>
      </c>
      <c r="B26" s="1" t="s">
        <v>108</v>
      </c>
      <c r="C26" s="1">
        <v>5000251958</v>
      </c>
      <c r="D26" s="1">
        <v>258.45</v>
      </c>
      <c r="E26" s="1" t="s">
        <v>588</v>
      </c>
      <c r="F26" s="1">
        <v>258.45</v>
      </c>
      <c r="G26" s="1">
        <v>72.5</v>
      </c>
      <c r="H26" s="1">
        <v>75.349999999999994</v>
      </c>
      <c r="I26" s="1">
        <f t="shared" ref="I26:I28" si="29">H26-G26</f>
        <v>2.8499999999999943</v>
      </c>
      <c r="J26" s="1">
        <f t="shared" ref="J26:J28" si="30">F26*I26</f>
        <v>736.5824999999985</v>
      </c>
    </row>
    <row r="27" spans="1:10" x14ac:dyDescent="0.25">
      <c r="A27" s="1">
        <v>1001263</v>
      </c>
      <c r="B27" s="1" t="s">
        <v>108</v>
      </c>
      <c r="C27" s="1">
        <v>5000251958</v>
      </c>
      <c r="D27" s="1">
        <v>687</v>
      </c>
      <c r="E27" s="1" t="s">
        <v>588</v>
      </c>
      <c r="F27" s="1">
        <v>687</v>
      </c>
      <c r="G27" s="1">
        <v>72.5</v>
      </c>
      <c r="H27" s="1">
        <v>75.349999999999994</v>
      </c>
      <c r="I27" s="1">
        <f t="shared" si="29"/>
        <v>2.8499999999999943</v>
      </c>
      <c r="J27" s="1">
        <f t="shared" si="30"/>
        <v>1957.9499999999962</v>
      </c>
    </row>
    <row r="28" spans="1:10" x14ac:dyDescent="0.25">
      <c r="A28" s="1">
        <v>1001263</v>
      </c>
      <c r="B28" s="1" t="s">
        <v>108</v>
      </c>
      <c r="C28" s="1">
        <v>5000251958</v>
      </c>
      <c r="D28" s="3">
        <v>1191.55</v>
      </c>
      <c r="E28" s="1" t="s">
        <v>588</v>
      </c>
      <c r="F28" s="3">
        <v>1191.55</v>
      </c>
      <c r="G28" s="1">
        <v>72.5</v>
      </c>
      <c r="H28" s="1">
        <v>75.349999999999994</v>
      </c>
      <c r="I28" s="1">
        <f t="shared" si="29"/>
        <v>2.8499999999999943</v>
      </c>
      <c r="J28" s="1">
        <f t="shared" si="30"/>
        <v>3395.9174999999932</v>
      </c>
    </row>
    <row r="29" spans="1:10" x14ac:dyDescent="0.25">
      <c r="A29" s="1">
        <v>1001375</v>
      </c>
      <c r="B29" s="1" t="s">
        <v>224</v>
      </c>
      <c r="C29" s="1">
        <v>5000252831</v>
      </c>
      <c r="D29" s="2">
        <v>1433</v>
      </c>
      <c r="E29" s="1" t="s">
        <v>587</v>
      </c>
      <c r="F29" s="2">
        <v>1433</v>
      </c>
      <c r="G29" s="1">
        <v>72.5</v>
      </c>
      <c r="H29" s="1">
        <v>75.349999999999994</v>
      </c>
      <c r="I29" s="1">
        <f>H29-G29</f>
        <v>2.8499999999999943</v>
      </c>
      <c r="J29" s="1">
        <f>F29*I29</f>
        <v>4084.049999999992</v>
      </c>
    </row>
    <row r="30" spans="1:10" x14ac:dyDescent="0.25">
      <c r="A30" s="1">
        <v>1001886</v>
      </c>
      <c r="B30" s="1" t="s">
        <v>90</v>
      </c>
      <c r="C30" s="1">
        <v>5000252597</v>
      </c>
      <c r="D30" s="1">
        <v>164</v>
      </c>
      <c r="E30" s="1" t="s">
        <v>586</v>
      </c>
      <c r="F30" s="1">
        <v>164</v>
      </c>
      <c r="G30" s="1">
        <v>72</v>
      </c>
      <c r="H30" s="1">
        <v>74.75</v>
      </c>
      <c r="I30" s="1">
        <f t="shared" ref="I30:I32" si="31">H30-G30</f>
        <v>2.75</v>
      </c>
      <c r="J30" s="1">
        <f t="shared" ref="J30:J32" si="32">F30*I30</f>
        <v>451</v>
      </c>
    </row>
    <row r="31" spans="1:10" x14ac:dyDescent="0.25">
      <c r="A31" s="1">
        <v>1001886</v>
      </c>
      <c r="B31" s="1" t="s">
        <v>90</v>
      </c>
      <c r="C31" s="1">
        <v>5000252597</v>
      </c>
      <c r="D31" s="1">
        <v>520</v>
      </c>
      <c r="E31" s="1" t="s">
        <v>586</v>
      </c>
      <c r="F31" s="1">
        <v>520</v>
      </c>
      <c r="G31" s="1">
        <v>72</v>
      </c>
      <c r="H31" s="1">
        <v>74.75</v>
      </c>
      <c r="I31" s="1">
        <f t="shared" si="31"/>
        <v>2.75</v>
      </c>
      <c r="J31" s="1">
        <f t="shared" si="32"/>
        <v>1430</v>
      </c>
    </row>
    <row r="32" spans="1:10" x14ac:dyDescent="0.25">
      <c r="A32" s="1">
        <v>1001886</v>
      </c>
      <c r="B32" s="1" t="s">
        <v>90</v>
      </c>
      <c r="C32" s="1">
        <v>5000252597</v>
      </c>
      <c r="D32" s="1">
        <v>510</v>
      </c>
      <c r="E32" s="1" t="s">
        <v>586</v>
      </c>
      <c r="F32" s="1">
        <v>510</v>
      </c>
      <c r="G32" s="1">
        <v>72</v>
      </c>
      <c r="H32" s="1">
        <v>74.75</v>
      </c>
      <c r="I32" s="1">
        <f t="shared" si="31"/>
        <v>2.75</v>
      </c>
      <c r="J32" s="1">
        <f t="shared" si="32"/>
        <v>1402.5</v>
      </c>
    </row>
    <row r="33" spans="1:14" x14ac:dyDescent="0.25">
      <c r="A33" s="1">
        <v>1001934</v>
      </c>
      <c r="B33" s="1" t="s">
        <v>91</v>
      </c>
      <c r="C33" s="1">
        <v>5000251501</v>
      </c>
      <c r="D33" s="1">
        <v>906</v>
      </c>
      <c r="E33" s="1" t="s">
        <v>590</v>
      </c>
      <c r="F33" s="1">
        <v>906</v>
      </c>
      <c r="G33" s="1">
        <v>72</v>
      </c>
      <c r="H33" s="1">
        <v>74.75</v>
      </c>
      <c r="I33" s="1">
        <f t="shared" ref="I33:I37" si="33">H33-G33</f>
        <v>2.75</v>
      </c>
      <c r="J33" s="1">
        <f t="shared" ref="J33:J37" si="34">F33*I33</f>
        <v>2491.5</v>
      </c>
    </row>
    <row r="34" spans="1:14" x14ac:dyDescent="0.25">
      <c r="A34" s="1">
        <v>1001934</v>
      </c>
      <c r="B34" s="1" t="s">
        <v>91</v>
      </c>
      <c r="C34" s="1">
        <v>5000251501</v>
      </c>
      <c r="D34" s="1">
        <v>24</v>
      </c>
      <c r="E34" s="1" t="s">
        <v>590</v>
      </c>
      <c r="F34" s="1">
        <v>24</v>
      </c>
      <c r="G34" s="1">
        <v>72</v>
      </c>
      <c r="H34" s="1">
        <v>74.75</v>
      </c>
      <c r="I34" s="1">
        <f t="shared" si="33"/>
        <v>2.75</v>
      </c>
      <c r="J34" s="1">
        <f t="shared" si="34"/>
        <v>66</v>
      </c>
    </row>
    <row r="35" spans="1:14" x14ac:dyDescent="0.25">
      <c r="A35" s="1">
        <v>1001934</v>
      </c>
      <c r="B35" s="1" t="s">
        <v>91</v>
      </c>
      <c r="C35" s="1">
        <v>5000250901</v>
      </c>
      <c r="D35" s="2">
        <v>1017</v>
      </c>
      <c r="E35" s="1" t="s">
        <v>585</v>
      </c>
      <c r="F35" s="2">
        <v>1017</v>
      </c>
      <c r="G35" s="1">
        <v>72</v>
      </c>
      <c r="H35" s="1">
        <v>74.75</v>
      </c>
      <c r="I35" s="1">
        <f t="shared" si="33"/>
        <v>2.75</v>
      </c>
      <c r="J35" s="1">
        <f t="shared" si="34"/>
        <v>2796.75</v>
      </c>
    </row>
    <row r="36" spans="1:14" x14ac:dyDescent="0.25">
      <c r="A36" s="1">
        <v>1001934</v>
      </c>
      <c r="B36" s="1" t="s">
        <v>91</v>
      </c>
      <c r="C36" s="1">
        <v>5000250901</v>
      </c>
      <c r="D36" s="1">
        <v>476</v>
      </c>
      <c r="E36" s="1" t="s">
        <v>585</v>
      </c>
      <c r="F36" s="1">
        <v>476</v>
      </c>
      <c r="G36" s="1">
        <v>72</v>
      </c>
      <c r="H36" s="1">
        <v>74.75</v>
      </c>
      <c r="I36" s="1">
        <f t="shared" si="33"/>
        <v>2.75</v>
      </c>
      <c r="J36" s="1">
        <f t="shared" si="34"/>
        <v>1309</v>
      </c>
    </row>
    <row r="37" spans="1:14" x14ac:dyDescent="0.25">
      <c r="A37" s="1">
        <v>1001934</v>
      </c>
      <c r="B37" s="1" t="s">
        <v>91</v>
      </c>
      <c r="C37" s="1">
        <v>5000250901</v>
      </c>
      <c r="D37" s="1">
        <v>524</v>
      </c>
      <c r="E37" s="1" t="s">
        <v>585</v>
      </c>
      <c r="F37" s="1">
        <v>524</v>
      </c>
      <c r="G37" s="1">
        <v>72</v>
      </c>
      <c r="H37" s="1">
        <v>74.75</v>
      </c>
      <c r="I37" s="1">
        <f t="shared" si="33"/>
        <v>2.75</v>
      </c>
      <c r="J37" s="1">
        <f t="shared" si="34"/>
        <v>1441</v>
      </c>
    </row>
    <row r="38" spans="1:14" x14ac:dyDescent="0.25">
      <c r="F38" s="6">
        <f>SUM(F18:F37)</f>
        <v>14533</v>
      </c>
      <c r="I38" t="s">
        <v>58</v>
      </c>
      <c r="J38">
        <f>SUM(J18:J37)</f>
        <v>41004.949999999939</v>
      </c>
    </row>
    <row r="41" spans="1:14" x14ac:dyDescent="0.25">
      <c r="A41" s="1" t="s">
        <v>438</v>
      </c>
      <c r="B41" s="1" t="s">
        <v>169</v>
      </c>
      <c r="C41" s="1" t="s">
        <v>208</v>
      </c>
      <c r="D41" s="1" t="s">
        <v>168</v>
      </c>
      <c r="E41" s="1" t="s">
        <v>436</v>
      </c>
      <c r="F41" s="1" t="s">
        <v>22</v>
      </c>
      <c r="G41" s="1" t="s">
        <v>209</v>
      </c>
      <c r="H41" s="1" t="s">
        <v>210</v>
      </c>
      <c r="I41" s="1" t="s">
        <v>52</v>
      </c>
      <c r="J41" s="1" t="s">
        <v>21</v>
      </c>
    </row>
    <row r="42" spans="1:14" x14ac:dyDescent="0.25">
      <c r="A42" s="1">
        <v>1001826</v>
      </c>
      <c r="B42" s="1" t="s">
        <v>501</v>
      </c>
      <c r="C42" s="1">
        <v>5000255099</v>
      </c>
      <c r="D42" s="2"/>
      <c r="E42" s="1" t="s">
        <v>595</v>
      </c>
      <c r="F42" s="2">
        <v>9000</v>
      </c>
      <c r="G42" s="1">
        <v>1090</v>
      </c>
      <c r="H42" s="1">
        <f>1200+200</f>
        <v>1400</v>
      </c>
      <c r="I42" s="1">
        <f>H42-G42</f>
        <v>310</v>
      </c>
      <c r="J42" s="1">
        <f>I42*F42/1000</f>
        <v>2790</v>
      </c>
    </row>
    <row r="43" spans="1:14" x14ac:dyDescent="0.25">
      <c r="A43" s="1">
        <v>1001827</v>
      </c>
      <c r="B43" s="1" t="s">
        <v>502</v>
      </c>
      <c r="C43" s="1">
        <v>5000255099</v>
      </c>
      <c r="D43" s="2"/>
      <c r="E43" s="1" t="s">
        <v>595</v>
      </c>
      <c r="F43" s="2">
        <v>10500</v>
      </c>
      <c r="G43" s="1">
        <v>1310</v>
      </c>
      <c r="H43" s="1">
        <f>1600+285</f>
        <v>1885</v>
      </c>
      <c r="I43" s="1">
        <f>H43-G43</f>
        <v>575</v>
      </c>
      <c r="J43" s="1">
        <f>I43*F43/1000</f>
        <v>6037.5</v>
      </c>
    </row>
    <row r="44" spans="1:14" x14ac:dyDescent="0.25">
      <c r="A44" s="1">
        <v>1002058</v>
      </c>
      <c r="B44" s="1" t="s">
        <v>596</v>
      </c>
      <c r="C44" s="1">
        <v>5000255104</v>
      </c>
      <c r="D44" s="2"/>
      <c r="E44" s="1" t="s">
        <v>595</v>
      </c>
      <c r="F44" s="2">
        <v>21000</v>
      </c>
      <c r="G44" s="1">
        <v>1090</v>
      </c>
      <c r="H44" s="1">
        <f>1200+200</f>
        <v>1400</v>
      </c>
      <c r="I44" s="1">
        <f>H44-G44</f>
        <v>310</v>
      </c>
      <c r="J44" s="1">
        <f>I44*F44/1000</f>
        <v>6510</v>
      </c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4" x14ac:dyDescent="0.25">
      <c r="A46" s="1"/>
      <c r="B46" s="1"/>
      <c r="C46" s="1"/>
      <c r="D46" s="1"/>
      <c r="E46" s="1"/>
      <c r="F46" s="2">
        <f>SUM(F42:F45)</f>
        <v>40500</v>
      </c>
      <c r="G46" s="1"/>
      <c r="H46" s="1"/>
      <c r="I46" s="1" t="s">
        <v>58</v>
      </c>
      <c r="J46" s="1">
        <f>SUM(J42:J44)</f>
        <v>15337.5</v>
      </c>
    </row>
    <row r="48" spans="1:14" x14ac:dyDescent="0.25">
      <c r="A48" s="1"/>
      <c r="B48" s="1"/>
      <c r="C48" s="1"/>
      <c r="D48" s="1"/>
      <c r="E48" s="1"/>
      <c r="F48" s="1"/>
      <c r="G48" s="199" t="s">
        <v>603</v>
      </c>
      <c r="H48" s="199"/>
      <c r="I48" s="199"/>
      <c r="J48" s="199"/>
      <c r="K48" s="199" t="s">
        <v>604</v>
      </c>
      <c r="L48" s="199"/>
      <c r="M48" s="199"/>
      <c r="N48" s="199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 t="s">
        <v>438</v>
      </c>
      <c r="B50" s="1" t="s">
        <v>439</v>
      </c>
      <c r="C50" s="1" t="s">
        <v>172</v>
      </c>
      <c r="D50" s="1"/>
      <c r="E50" s="1" t="s">
        <v>594</v>
      </c>
      <c r="F50" s="1" t="s">
        <v>22</v>
      </c>
      <c r="G50" s="1" t="s">
        <v>601</v>
      </c>
      <c r="H50" s="1" t="s">
        <v>210</v>
      </c>
      <c r="I50" s="1" t="s">
        <v>602</v>
      </c>
      <c r="J50" s="1" t="s">
        <v>443</v>
      </c>
      <c r="K50" s="1" t="s">
        <v>601</v>
      </c>
      <c r="L50" s="1" t="s">
        <v>210</v>
      </c>
      <c r="M50" s="1" t="s">
        <v>602</v>
      </c>
      <c r="N50" s="1" t="s">
        <v>443</v>
      </c>
    </row>
    <row r="51" spans="1:14" x14ac:dyDescent="0.25">
      <c r="A51" s="1">
        <v>1001478</v>
      </c>
      <c r="B51" s="1" t="s">
        <v>362</v>
      </c>
      <c r="C51" s="1">
        <v>5000254309</v>
      </c>
      <c r="D51" s="2">
        <v>3240</v>
      </c>
      <c r="E51" s="1" t="s">
        <v>597</v>
      </c>
      <c r="F51" s="2">
        <v>3240</v>
      </c>
      <c r="G51" s="1">
        <v>600</v>
      </c>
      <c r="H51" s="1">
        <v>680</v>
      </c>
      <c r="I51" s="1">
        <f t="shared" ref="I51" si="35">H51-G51</f>
        <v>80</v>
      </c>
      <c r="J51" s="1">
        <f t="shared" ref="J51" si="36">I51*F51/1000</f>
        <v>259.2</v>
      </c>
      <c r="K51" s="1"/>
      <c r="L51" s="1"/>
      <c r="M51" s="1"/>
      <c r="N51" s="1"/>
    </row>
    <row r="52" spans="1:14" x14ac:dyDescent="0.25">
      <c r="A52" s="1">
        <v>1001781</v>
      </c>
      <c r="B52" s="1" t="s">
        <v>553</v>
      </c>
      <c r="C52" s="1">
        <v>5000252915</v>
      </c>
      <c r="D52" s="2">
        <v>30450</v>
      </c>
      <c r="E52" s="1" t="s">
        <v>598</v>
      </c>
      <c r="F52" s="2">
        <v>30450</v>
      </c>
      <c r="G52" s="4">
        <v>390</v>
      </c>
      <c r="H52" s="4">
        <v>480</v>
      </c>
      <c r="I52" s="1">
        <f t="shared" ref="I52:I54" si="37">H52-G52</f>
        <v>90</v>
      </c>
      <c r="J52" s="1">
        <f t="shared" ref="J52:J54" si="38">I52*F52/1000</f>
        <v>2740.5</v>
      </c>
      <c r="K52" s="1"/>
      <c r="L52" s="1"/>
      <c r="M52" s="1"/>
      <c r="N52" s="1"/>
    </row>
    <row r="53" spans="1:14" x14ac:dyDescent="0.25">
      <c r="A53" s="1">
        <v>1001781</v>
      </c>
      <c r="B53" s="1" t="s">
        <v>553</v>
      </c>
      <c r="C53" s="1">
        <v>5000252915</v>
      </c>
      <c r="D53" s="2">
        <v>2650</v>
      </c>
      <c r="E53" s="1" t="s">
        <v>598</v>
      </c>
      <c r="F53" s="2">
        <v>2650</v>
      </c>
      <c r="G53" s="4">
        <v>390</v>
      </c>
      <c r="H53" s="4">
        <v>480</v>
      </c>
      <c r="I53" s="1">
        <f t="shared" si="37"/>
        <v>90</v>
      </c>
      <c r="J53" s="1">
        <f t="shared" si="38"/>
        <v>238.5</v>
      </c>
      <c r="K53" s="1"/>
      <c r="L53" s="1"/>
      <c r="M53" s="1"/>
      <c r="N53" s="1"/>
    </row>
    <row r="54" spans="1:14" x14ac:dyDescent="0.25">
      <c r="A54" s="1">
        <v>1001781</v>
      </c>
      <c r="B54" s="1" t="s">
        <v>553</v>
      </c>
      <c r="C54" s="1">
        <v>5000252915</v>
      </c>
      <c r="D54" s="2">
        <v>22900</v>
      </c>
      <c r="E54" s="1" t="s">
        <v>598</v>
      </c>
      <c r="F54" s="2">
        <v>22900</v>
      </c>
      <c r="G54" s="4">
        <v>390</v>
      </c>
      <c r="H54" s="4">
        <v>480</v>
      </c>
      <c r="I54" s="1">
        <f t="shared" si="37"/>
        <v>90</v>
      </c>
      <c r="J54" s="1">
        <f t="shared" si="38"/>
        <v>2061</v>
      </c>
      <c r="K54" s="1"/>
      <c r="L54" s="1"/>
      <c r="M54" s="1"/>
      <c r="N54" s="1"/>
    </row>
    <row r="55" spans="1:14" x14ac:dyDescent="0.25">
      <c r="A55" s="1">
        <v>1002500</v>
      </c>
      <c r="B55" s="1" t="s">
        <v>367</v>
      </c>
      <c r="C55" s="1">
        <v>5000253623</v>
      </c>
      <c r="D55" s="2">
        <v>10100</v>
      </c>
      <c r="E55" s="1" t="s">
        <v>599</v>
      </c>
      <c r="F55" s="2">
        <v>10100</v>
      </c>
      <c r="G55" s="1">
        <v>530</v>
      </c>
      <c r="H55" s="2">
        <v>650</v>
      </c>
      <c r="I55" s="1">
        <f t="shared" ref="I55" si="39">H55-G55</f>
        <v>120</v>
      </c>
      <c r="J55" s="1">
        <f t="shared" ref="J55" si="40">I55*F55/1000</f>
        <v>1212</v>
      </c>
      <c r="K55" s="1"/>
      <c r="L55" s="1"/>
      <c r="M55" s="1"/>
      <c r="N55" s="1"/>
    </row>
    <row r="56" spans="1:14" x14ac:dyDescent="0.25">
      <c r="A56" s="1">
        <v>1002500</v>
      </c>
      <c r="B56" s="1" t="s">
        <v>367</v>
      </c>
      <c r="C56" s="1">
        <v>5000251116</v>
      </c>
      <c r="D56" s="2">
        <v>15300</v>
      </c>
      <c r="E56" s="1" t="s">
        <v>585</v>
      </c>
      <c r="F56" s="2">
        <v>15300</v>
      </c>
      <c r="G56" s="1">
        <v>530</v>
      </c>
      <c r="H56" s="2">
        <v>650</v>
      </c>
      <c r="I56" s="1">
        <f t="shared" ref="I56:I57" si="41">H56-G56</f>
        <v>120</v>
      </c>
      <c r="J56" s="1">
        <f t="shared" ref="J56:J57" si="42">I56*F56/1000</f>
        <v>1836</v>
      </c>
      <c r="K56" s="1"/>
      <c r="L56" s="1"/>
      <c r="M56" s="1"/>
      <c r="N56" s="1"/>
    </row>
    <row r="57" spans="1:14" x14ac:dyDescent="0.25">
      <c r="A57" s="1">
        <v>1002500</v>
      </c>
      <c r="B57" s="1" t="s">
        <v>367</v>
      </c>
      <c r="C57" s="1">
        <v>5000251116</v>
      </c>
      <c r="D57" s="1">
        <v>700</v>
      </c>
      <c r="E57" s="1" t="s">
        <v>585</v>
      </c>
      <c r="F57" s="1">
        <v>700</v>
      </c>
      <c r="G57" s="1">
        <v>530</v>
      </c>
      <c r="H57" s="2">
        <v>650</v>
      </c>
      <c r="I57" s="1">
        <f t="shared" si="41"/>
        <v>120</v>
      </c>
      <c r="J57" s="1">
        <f t="shared" si="42"/>
        <v>84</v>
      </c>
      <c r="K57" s="1"/>
      <c r="L57" s="1"/>
      <c r="M57" s="1"/>
      <c r="N57" s="1"/>
    </row>
    <row r="58" spans="1:14" x14ac:dyDescent="0.25">
      <c r="A58" s="1">
        <v>1002500</v>
      </c>
      <c r="B58" s="1"/>
      <c r="C58" s="1"/>
      <c r="D58" s="2"/>
      <c r="E58" s="1"/>
      <c r="F58" s="2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>
        <v>1002942</v>
      </c>
      <c r="B59" s="1" t="s">
        <v>503</v>
      </c>
      <c r="C59" s="1">
        <v>5000253623</v>
      </c>
      <c r="D59" s="2">
        <v>36500</v>
      </c>
      <c r="E59" s="1" t="s">
        <v>599</v>
      </c>
      <c r="F59" s="2">
        <v>36500</v>
      </c>
      <c r="G59" s="1"/>
      <c r="H59" s="1"/>
      <c r="I59" s="1"/>
      <c r="J59" s="1"/>
      <c r="K59" s="1">
        <v>570</v>
      </c>
      <c r="L59" s="1">
        <v>660</v>
      </c>
      <c r="M59" s="1">
        <f t="shared" ref="M59" si="43">L59-K59</f>
        <v>90</v>
      </c>
      <c r="N59" s="1">
        <f>M59*26</f>
        <v>2340</v>
      </c>
    </row>
    <row r="60" spans="1:14" x14ac:dyDescent="0.25">
      <c r="A60" s="1">
        <v>1002942</v>
      </c>
      <c r="B60" s="1" t="s">
        <v>503</v>
      </c>
      <c r="C60" s="1">
        <v>5000253070</v>
      </c>
      <c r="D60" s="2">
        <v>14500</v>
      </c>
      <c r="E60" s="1" t="s">
        <v>600</v>
      </c>
      <c r="F60" s="2">
        <v>14500</v>
      </c>
      <c r="G60" s="1"/>
      <c r="H60" s="1"/>
      <c r="I60" s="1"/>
      <c r="J60" s="1"/>
      <c r="K60" s="1">
        <v>570</v>
      </c>
      <c r="L60" s="1">
        <v>660</v>
      </c>
      <c r="M60" s="1">
        <f t="shared" ref="M60" si="44">L60-K60</f>
        <v>90</v>
      </c>
      <c r="N60" s="1">
        <f>M60*26</f>
        <v>2340</v>
      </c>
    </row>
    <row r="61" spans="1:14" x14ac:dyDescent="0.25">
      <c r="A61" s="1">
        <v>1002942</v>
      </c>
      <c r="B61" s="1"/>
      <c r="C61" s="1"/>
      <c r="D61" s="2"/>
      <c r="E61" s="1"/>
      <c r="F61" s="2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>
        <v>1003045</v>
      </c>
      <c r="B62" s="1" t="s">
        <v>554</v>
      </c>
      <c r="C62" s="1">
        <v>5000254309</v>
      </c>
      <c r="D62" s="2">
        <v>123500</v>
      </c>
      <c r="E62" s="1" t="s">
        <v>597</v>
      </c>
      <c r="F62" s="2">
        <v>123500</v>
      </c>
      <c r="G62" s="1">
        <v>370</v>
      </c>
      <c r="H62" s="1">
        <v>460</v>
      </c>
      <c r="I62" s="1">
        <f t="shared" ref="I62:I66" si="45">H62-G62</f>
        <v>90</v>
      </c>
      <c r="J62" s="1">
        <f t="shared" ref="J62:J66" si="46">I62*F62/1000</f>
        <v>11115</v>
      </c>
      <c r="K62" s="4">
        <v>260</v>
      </c>
      <c r="L62" s="4">
        <v>370</v>
      </c>
      <c r="M62" s="1">
        <f t="shared" ref="M62:M66" si="47">L62-K62</f>
        <v>110</v>
      </c>
      <c r="N62" s="1">
        <f t="shared" ref="N62:N66" si="48">M62*F62/1000</f>
        <v>13585</v>
      </c>
    </row>
    <row r="63" spans="1:14" x14ac:dyDescent="0.25">
      <c r="A63" s="1">
        <v>1003045</v>
      </c>
      <c r="B63" s="1" t="s">
        <v>554</v>
      </c>
      <c r="C63" s="1">
        <v>5000253623</v>
      </c>
      <c r="D63" s="2">
        <v>55000</v>
      </c>
      <c r="E63" s="1" t="s">
        <v>599</v>
      </c>
      <c r="F63" s="2">
        <v>55000</v>
      </c>
      <c r="G63" s="1">
        <v>370</v>
      </c>
      <c r="H63" s="1">
        <v>460</v>
      </c>
      <c r="I63" s="1">
        <f t="shared" si="45"/>
        <v>90</v>
      </c>
      <c r="J63" s="1">
        <f t="shared" si="46"/>
        <v>4950</v>
      </c>
      <c r="K63" s="4">
        <v>260</v>
      </c>
      <c r="L63" s="4">
        <v>370</v>
      </c>
      <c r="M63" s="1">
        <f t="shared" si="47"/>
        <v>110</v>
      </c>
      <c r="N63" s="1">
        <f t="shared" si="48"/>
        <v>6050</v>
      </c>
    </row>
    <row r="64" spans="1:14" x14ac:dyDescent="0.25">
      <c r="A64" s="1">
        <v>1003045</v>
      </c>
      <c r="B64" s="1" t="s">
        <v>554</v>
      </c>
      <c r="C64" s="1">
        <v>5000252915</v>
      </c>
      <c r="D64" s="2">
        <v>80000</v>
      </c>
      <c r="E64" s="1" t="s">
        <v>598</v>
      </c>
      <c r="F64" s="2">
        <v>80000</v>
      </c>
      <c r="G64" s="1">
        <v>370</v>
      </c>
      <c r="H64" s="1">
        <v>460</v>
      </c>
      <c r="I64" s="1">
        <f t="shared" si="45"/>
        <v>90</v>
      </c>
      <c r="J64" s="1">
        <f t="shared" si="46"/>
        <v>7200</v>
      </c>
      <c r="K64" s="4">
        <v>260</v>
      </c>
      <c r="L64" s="4">
        <v>370</v>
      </c>
      <c r="M64" s="1">
        <f t="shared" si="47"/>
        <v>110</v>
      </c>
      <c r="N64" s="1">
        <f t="shared" si="48"/>
        <v>8800</v>
      </c>
    </row>
    <row r="65" spans="1:14" x14ac:dyDescent="0.25">
      <c r="A65" s="1">
        <v>1003045</v>
      </c>
      <c r="B65" s="1" t="s">
        <v>554</v>
      </c>
      <c r="C65" s="1">
        <v>5000252378</v>
      </c>
      <c r="D65" s="2">
        <v>29500</v>
      </c>
      <c r="E65" s="1" t="s">
        <v>587</v>
      </c>
      <c r="F65" s="2">
        <v>29500</v>
      </c>
      <c r="G65" s="1">
        <v>370</v>
      </c>
      <c r="H65" s="1">
        <v>460</v>
      </c>
      <c r="I65" s="1">
        <f t="shared" si="45"/>
        <v>90</v>
      </c>
      <c r="J65" s="1">
        <f t="shared" si="46"/>
        <v>2655</v>
      </c>
      <c r="K65" s="4">
        <v>260</v>
      </c>
      <c r="L65" s="4">
        <v>370</v>
      </c>
      <c r="M65" s="1">
        <f t="shared" si="47"/>
        <v>110</v>
      </c>
      <c r="N65" s="1">
        <f t="shared" si="48"/>
        <v>3245</v>
      </c>
    </row>
    <row r="66" spans="1:14" x14ac:dyDescent="0.25">
      <c r="A66" s="1">
        <v>1003045</v>
      </c>
      <c r="B66" s="1" t="s">
        <v>554</v>
      </c>
      <c r="C66" s="1">
        <v>5000251116</v>
      </c>
      <c r="D66" s="2">
        <v>18000</v>
      </c>
      <c r="E66" s="1" t="s">
        <v>585</v>
      </c>
      <c r="F66" s="2">
        <v>18000</v>
      </c>
      <c r="G66" s="1">
        <v>370</v>
      </c>
      <c r="H66" s="1">
        <v>460</v>
      </c>
      <c r="I66" s="1">
        <f t="shared" si="45"/>
        <v>90</v>
      </c>
      <c r="J66" s="1">
        <f t="shared" si="46"/>
        <v>1620</v>
      </c>
      <c r="K66" s="4">
        <v>260</v>
      </c>
      <c r="L66" s="4">
        <v>370</v>
      </c>
      <c r="M66" s="1">
        <f t="shared" si="47"/>
        <v>110</v>
      </c>
      <c r="N66" s="1">
        <f t="shared" si="48"/>
        <v>1980</v>
      </c>
    </row>
    <row r="67" spans="1:14" x14ac:dyDescent="0.25">
      <c r="A67" s="1">
        <v>1003045</v>
      </c>
      <c r="B67" s="1"/>
      <c r="C67" s="1"/>
      <c r="D67" s="2"/>
      <c r="E67" s="1"/>
      <c r="F67" s="2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>
        <v>1003046</v>
      </c>
      <c r="B68" s="1" t="s">
        <v>555</v>
      </c>
      <c r="C68" s="1">
        <v>5000254309</v>
      </c>
      <c r="D68" s="2">
        <v>5300</v>
      </c>
      <c r="E68" s="1" t="s">
        <v>597</v>
      </c>
      <c r="F68" s="2">
        <v>5300</v>
      </c>
      <c r="G68" s="1">
        <v>500</v>
      </c>
      <c r="H68" s="1">
        <v>850</v>
      </c>
      <c r="I68" s="1">
        <f>H68-G68</f>
        <v>350</v>
      </c>
      <c r="J68" s="1">
        <f>I68*F68/1000</f>
        <v>1855</v>
      </c>
      <c r="K68" s="4">
        <v>460</v>
      </c>
      <c r="L68" s="4">
        <v>500</v>
      </c>
      <c r="M68" s="1">
        <f>L68-K68</f>
        <v>40</v>
      </c>
      <c r="N68" s="1">
        <f>M68*F68/1000</f>
        <v>212</v>
      </c>
    </row>
    <row r="69" spans="1:14" x14ac:dyDescent="0.25">
      <c r="A69" s="1">
        <v>1003046</v>
      </c>
      <c r="B69" s="1" t="s">
        <v>555</v>
      </c>
      <c r="C69" s="1">
        <v>5000252915</v>
      </c>
      <c r="D69" s="2">
        <v>45000</v>
      </c>
      <c r="E69" s="1" t="s">
        <v>598</v>
      </c>
      <c r="F69" s="2">
        <v>45000</v>
      </c>
      <c r="G69" s="1">
        <v>500</v>
      </c>
      <c r="H69" s="1">
        <v>850</v>
      </c>
      <c r="I69" s="1">
        <f>H69-G69</f>
        <v>350</v>
      </c>
      <c r="J69" s="1">
        <f>I69*F69/1000</f>
        <v>15750</v>
      </c>
      <c r="K69" s="4">
        <v>460</v>
      </c>
      <c r="L69" s="4">
        <v>500</v>
      </c>
      <c r="M69" s="1">
        <f>L69-K69</f>
        <v>40</v>
      </c>
      <c r="N69" s="1">
        <f>M69*F69/1000</f>
        <v>1800</v>
      </c>
    </row>
    <row r="70" spans="1:14" x14ac:dyDescent="0.25">
      <c r="A70" s="1">
        <v>1003046</v>
      </c>
      <c r="B70" s="1" t="s">
        <v>555</v>
      </c>
      <c r="C70" s="1">
        <v>5000252378</v>
      </c>
      <c r="D70" s="2">
        <v>25500</v>
      </c>
      <c r="E70" s="1" t="s">
        <v>587</v>
      </c>
      <c r="F70" s="2">
        <v>25500</v>
      </c>
      <c r="G70" s="1">
        <v>500</v>
      </c>
      <c r="H70" s="1">
        <v>850</v>
      </c>
      <c r="I70" s="1">
        <f>H70-G70</f>
        <v>350</v>
      </c>
      <c r="J70" s="1">
        <f>I70*F70/1000</f>
        <v>8925</v>
      </c>
      <c r="K70" s="4">
        <v>460</v>
      </c>
      <c r="L70" s="4">
        <v>500</v>
      </c>
      <c r="M70" s="1">
        <f>L70-K70</f>
        <v>40</v>
      </c>
      <c r="N70" s="1">
        <f>M70*F70/1000</f>
        <v>1020</v>
      </c>
    </row>
    <row r="71" spans="1:14" x14ac:dyDescent="0.25">
      <c r="A71" s="1">
        <v>1003046</v>
      </c>
      <c r="B71" s="1" t="s">
        <v>555</v>
      </c>
      <c r="C71" s="1">
        <v>5000251959</v>
      </c>
      <c r="D71" s="2">
        <v>45000</v>
      </c>
      <c r="E71" s="1" t="s">
        <v>588</v>
      </c>
      <c r="F71" s="2">
        <v>45000</v>
      </c>
      <c r="G71" s="1">
        <v>500</v>
      </c>
      <c r="H71" s="1">
        <v>850</v>
      </c>
      <c r="I71" s="1">
        <f>H71-G71</f>
        <v>350</v>
      </c>
      <c r="J71" s="1">
        <f>I71*F71/1000</f>
        <v>15750</v>
      </c>
      <c r="K71" s="4">
        <v>460</v>
      </c>
      <c r="L71" s="4">
        <v>500</v>
      </c>
      <c r="M71" s="1">
        <f>L71-K71</f>
        <v>40</v>
      </c>
      <c r="N71" s="1">
        <f>M71*F71/1000</f>
        <v>1800</v>
      </c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2">
        <f>SUM(D51:D72)</f>
        <v>563140</v>
      </c>
      <c r="E73" s="1"/>
      <c r="F73" s="2">
        <f>SUM(F59:F72)</f>
        <v>477800</v>
      </c>
      <c r="G73" s="1"/>
      <c r="H73" s="1"/>
      <c r="I73" s="1"/>
      <c r="J73" s="1">
        <f>SUM(J51:J71)</f>
        <v>78251.199999999997</v>
      </c>
      <c r="K73" s="1"/>
      <c r="L73" s="1"/>
      <c r="M73" s="1"/>
      <c r="N73" s="1">
        <f>SUM(N51:N71)</f>
        <v>43172</v>
      </c>
    </row>
    <row r="75" spans="1:14" x14ac:dyDescent="0.25">
      <c r="A75" s="1" t="s">
        <v>606</v>
      </c>
      <c r="B75" s="1" t="s">
        <v>169</v>
      </c>
      <c r="C75" s="1"/>
      <c r="D75" s="1" t="s">
        <v>38</v>
      </c>
      <c r="E75" s="1" t="s">
        <v>436</v>
      </c>
      <c r="F75" s="1" t="s">
        <v>208</v>
      </c>
      <c r="G75" s="1" t="s">
        <v>607</v>
      </c>
      <c r="H75" s="1" t="s">
        <v>192</v>
      </c>
      <c r="I75" s="1" t="s">
        <v>465</v>
      </c>
      <c r="J75" s="1" t="s">
        <v>21</v>
      </c>
    </row>
    <row r="76" spans="1:14" x14ac:dyDescent="0.25">
      <c r="A76" s="1">
        <v>1001438</v>
      </c>
      <c r="B76" s="1" t="s">
        <v>404</v>
      </c>
      <c r="C76" s="1" t="s">
        <v>0</v>
      </c>
      <c r="D76" s="2">
        <v>20240</v>
      </c>
      <c r="E76" s="1" t="s">
        <v>605</v>
      </c>
      <c r="F76" s="1">
        <v>5000252668</v>
      </c>
      <c r="G76" s="1">
        <v>6593</v>
      </c>
      <c r="H76" s="1">
        <v>6798</v>
      </c>
      <c r="I76" s="1">
        <f>H76-G76</f>
        <v>205</v>
      </c>
      <c r="J76" s="1">
        <f>I76*D76/1000</f>
        <v>4149.2</v>
      </c>
    </row>
    <row r="77" spans="1:14" x14ac:dyDescent="0.25">
      <c r="A77" s="1">
        <v>1001438</v>
      </c>
      <c r="B77" s="1" t="s">
        <v>404</v>
      </c>
      <c r="C77" s="1" t="s">
        <v>0</v>
      </c>
      <c r="D77" s="2">
        <v>28600</v>
      </c>
      <c r="E77" s="1" t="s">
        <v>586</v>
      </c>
      <c r="F77" s="1">
        <v>5000252428</v>
      </c>
      <c r="G77" s="1">
        <v>6593</v>
      </c>
      <c r="H77" s="1">
        <v>6798</v>
      </c>
      <c r="I77" s="1">
        <f>H77-G77</f>
        <v>205</v>
      </c>
      <c r="J77" s="1">
        <f>I77*D77/1000</f>
        <v>5863</v>
      </c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4" x14ac:dyDescent="0.25">
      <c r="A79" s="1"/>
      <c r="B79" s="1"/>
      <c r="C79" s="1"/>
      <c r="D79" s="2">
        <f>SUM(D76:D78)</f>
        <v>48840</v>
      </c>
      <c r="E79" s="1"/>
      <c r="F79" s="1"/>
      <c r="G79" s="1"/>
      <c r="H79" s="1"/>
      <c r="I79" s="1" t="s">
        <v>58</v>
      </c>
      <c r="J79" s="1">
        <f>SUM(J76:J77)</f>
        <v>10012.200000000001</v>
      </c>
    </row>
    <row r="83" spans="1:11" x14ac:dyDescent="0.25">
      <c r="A83" s="1" t="s">
        <v>167</v>
      </c>
      <c r="B83" s="1" t="s">
        <v>169</v>
      </c>
      <c r="C83" s="1"/>
      <c r="D83" s="1" t="s">
        <v>22</v>
      </c>
      <c r="E83" s="1"/>
      <c r="F83" s="1" t="s">
        <v>618</v>
      </c>
      <c r="G83" s="1" t="s">
        <v>210</v>
      </c>
      <c r="H83" s="1" t="s">
        <v>619</v>
      </c>
      <c r="I83" s="1" t="s">
        <v>465</v>
      </c>
      <c r="J83" s="1" t="s">
        <v>21</v>
      </c>
    </row>
    <row r="84" spans="1:11" x14ac:dyDescent="0.25">
      <c r="A84" s="1">
        <v>1001867</v>
      </c>
      <c r="B84" s="1" t="s">
        <v>609</v>
      </c>
      <c r="C84" s="1" t="s">
        <v>0</v>
      </c>
      <c r="D84" s="2">
        <v>378900</v>
      </c>
      <c r="E84" s="1" t="s">
        <v>608</v>
      </c>
      <c r="F84" s="1">
        <v>5000254829</v>
      </c>
      <c r="G84" s="1">
        <v>990</v>
      </c>
      <c r="H84" s="1">
        <v>981.38</v>
      </c>
      <c r="I84" s="1">
        <f>G84-H84</f>
        <v>8.6200000000000045</v>
      </c>
      <c r="J84" s="1">
        <f>I84*D84/1000</f>
        <v>3266.1180000000018</v>
      </c>
    </row>
    <row r="85" spans="1:11" x14ac:dyDescent="0.25">
      <c r="A85" s="1">
        <v>1001895</v>
      </c>
      <c r="B85" s="1" t="s">
        <v>610</v>
      </c>
      <c r="C85" s="1" t="s">
        <v>0</v>
      </c>
      <c r="D85" s="2">
        <v>160296</v>
      </c>
      <c r="E85" s="1" t="s">
        <v>608</v>
      </c>
      <c r="F85" s="1">
        <v>5000254881</v>
      </c>
      <c r="G85" s="1">
        <v>1919</v>
      </c>
      <c r="H85" s="1">
        <v>1901.5</v>
      </c>
      <c r="I85" s="1">
        <f>G85-H85</f>
        <v>17.5</v>
      </c>
      <c r="J85" s="1">
        <f>I85*D85/1000</f>
        <v>2805.18</v>
      </c>
    </row>
    <row r="86" spans="1:11" x14ac:dyDescent="0.25">
      <c r="A86" s="1">
        <v>1001895</v>
      </c>
      <c r="B86" s="1" t="s">
        <v>610</v>
      </c>
      <c r="C86" s="1" t="s">
        <v>0</v>
      </c>
      <c r="D86" s="2">
        <v>85500</v>
      </c>
      <c r="E86" s="1" t="s">
        <v>599</v>
      </c>
      <c r="F86" s="1">
        <v>5000253621</v>
      </c>
      <c r="G86" s="1">
        <v>1919</v>
      </c>
      <c r="H86" s="1">
        <v>1901.5</v>
      </c>
      <c r="I86" s="1">
        <f>G86-H86</f>
        <v>17.5</v>
      </c>
      <c r="J86" s="1">
        <f>I86*D86/1000</f>
        <v>1496.25</v>
      </c>
      <c r="K86" t="s">
        <v>634</v>
      </c>
    </row>
    <row r="87" spans="1:11" x14ac:dyDescent="0.25">
      <c r="A87" s="1">
        <v>1002990</v>
      </c>
      <c r="B87" s="1" t="s">
        <v>611</v>
      </c>
      <c r="C87" s="1" t="s">
        <v>0</v>
      </c>
      <c r="D87" s="2">
        <v>441000</v>
      </c>
      <c r="E87" s="1" t="s">
        <v>608</v>
      </c>
      <c r="F87" s="1">
        <v>5000254885</v>
      </c>
      <c r="G87" s="1">
        <v>1320</v>
      </c>
      <c r="H87" s="1">
        <v>1308</v>
      </c>
      <c r="I87" s="1">
        <f>G87-H87</f>
        <v>12</v>
      </c>
      <c r="J87" s="1">
        <f>I87*D87/1000</f>
        <v>5292</v>
      </c>
    </row>
    <row r="88" spans="1:11" x14ac:dyDescent="0.25">
      <c r="A88" s="1">
        <v>1002990</v>
      </c>
      <c r="B88" s="1" t="s">
        <v>611</v>
      </c>
      <c r="C88" s="1" t="s">
        <v>0</v>
      </c>
      <c r="D88" s="2">
        <v>90000</v>
      </c>
      <c r="E88" s="1" t="s">
        <v>600</v>
      </c>
      <c r="F88" s="1">
        <v>5000253077</v>
      </c>
      <c r="G88" s="1">
        <v>1320</v>
      </c>
      <c r="H88" s="1">
        <v>1308</v>
      </c>
      <c r="I88" s="1">
        <f t="shared" ref="I88:I89" si="49">G88-H88</f>
        <v>12</v>
      </c>
      <c r="J88" s="1">
        <f t="shared" ref="J88:J89" si="50">I88*D88/1000</f>
        <v>1080</v>
      </c>
    </row>
    <row r="89" spans="1:11" x14ac:dyDescent="0.25">
      <c r="A89" s="1">
        <v>1002990</v>
      </c>
      <c r="B89" s="1" t="s">
        <v>611</v>
      </c>
      <c r="C89" s="1" t="s">
        <v>0</v>
      </c>
      <c r="D89" s="2">
        <v>120000</v>
      </c>
      <c r="E89" s="1" t="s">
        <v>600</v>
      </c>
      <c r="F89" s="1">
        <v>5000253072</v>
      </c>
      <c r="G89" s="1">
        <v>1320</v>
      </c>
      <c r="H89" s="1">
        <v>1308</v>
      </c>
      <c r="I89" s="1">
        <f t="shared" si="49"/>
        <v>12</v>
      </c>
      <c r="J89" s="1">
        <f t="shared" si="50"/>
        <v>1440</v>
      </c>
    </row>
    <row r="90" spans="1:11" x14ac:dyDescent="0.25">
      <c r="A90" s="1">
        <v>1002991</v>
      </c>
      <c r="B90" s="1" t="s">
        <v>612</v>
      </c>
      <c r="C90" s="1" t="s">
        <v>0</v>
      </c>
      <c r="D90" s="2">
        <v>374500</v>
      </c>
      <c r="E90" s="1" t="s">
        <v>600</v>
      </c>
      <c r="F90" s="1">
        <v>5000253075</v>
      </c>
      <c r="G90" s="1">
        <v>1320</v>
      </c>
      <c r="H90" s="1">
        <v>1308</v>
      </c>
      <c r="I90" s="1">
        <f t="shared" ref="I90" si="51">G90-H90</f>
        <v>12</v>
      </c>
      <c r="J90" s="1">
        <f t="shared" ref="J90" si="52">I90*D90/1000</f>
        <v>4494</v>
      </c>
    </row>
    <row r="91" spans="1:11" x14ac:dyDescent="0.25">
      <c r="A91" s="1"/>
      <c r="B91" s="1"/>
      <c r="C91" s="1"/>
      <c r="D91" s="2">
        <f>SUM(D84:D90)</f>
        <v>1650196</v>
      </c>
      <c r="E91" s="1"/>
      <c r="F91" s="1"/>
      <c r="G91" s="1"/>
      <c r="H91" s="1"/>
      <c r="I91" s="1"/>
      <c r="J91" s="1">
        <f>SUM(J84:J90)</f>
        <v>19873.548000000003</v>
      </c>
    </row>
    <row r="92" spans="1:11" x14ac:dyDescent="0.25">
      <c r="A92" s="1">
        <v>1003044</v>
      </c>
      <c r="B92" s="1" t="s">
        <v>622</v>
      </c>
      <c r="C92" s="1" t="s">
        <v>0</v>
      </c>
      <c r="D92" s="2">
        <v>25000</v>
      </c>
      <c r="E92" s="1" t="s">
        <v>542</v>
      </c>
      <c r="F92" s="1">
        <v>5000249515</v>
      </c>
      <c r="G92" s="1">
        <v>4.28</v>
      </c>
      <c r="H92" s="1">
        <v>3.2970000000000002</v>
      </c>
      <c r="I92" s="1">
        <f>G92-H92</f>
        <v>0.9830000000000001</v>
      </c>
      <c r="J92" s="1">
        <f>I92*D92</f>
        <v>24575.000000000004</v>
      </c>
    </row>
    <row r="93" spans="1:11" x14ac:dyDescent="0.25">
      <c r="A93" s="1"/>
      <c r="B93" s="1"/>
      <c r="C93" s="1"/>
      <c r="D93" s="2"/>
      <c r="E93" s="1"/>
      <c r="F93" s="1"/>
      <c r="G93" s="1"/>
      <c r="H93" s="1"/>
      <c r="I93" s="1" t="s">
        <v>21</v>
      </c>
      <c r="J93" s="1"/>
    </row>
    <row r="94" spans="1:11" x14ac:dyDescent="0.25">
      <c r="A94" t="s">
        <v>623</v>
      </c>
      <c r="D94" s="14"/>
    </row>
    <row r="95" spans="1:11" x14ac:dyDescent="0.25">
      <c r="A95" s="1" t="s">
        <v>167</v>
      </c>
      <c r="B95" s="1" t="s">
        <v>169</v>
      </c>
      <c r="C95" s="1"/>
      <c r="D95" s="1" t="s">
        <v>22</v>
      </c>
      <c r="E95" s="1"/>
      <c r="F95" s="1" t="s">
        <v>618</v>
      </c>
      <c r="G95" s="1" t="s">
        <v>210</v>
      </c>
      <c r="H95" s="1" t="s">
        <v>619</v>
      </c>
      <c r="I95" s="1" t="s">
        <v>465</v>
      </c>
      <c r="J95" s="1" t="s">
        <v>21</v>
      </c>
    </row>
    <row r="96" spans="1:11" x14ac:dyDescent="0.25">
      <c r="A96" s="1">
        <v>1003078</v>
      </c>
      <c r="B96" s="1" t="s">
        <v>613</v>
      </c>
      <c r="C96" s="1" t="s">
        <v>0</v>
      </c>
      <c r="D96" s="2">
        <v>2100</v>
      </c>
      <c r="E96" s="1" t="s">
        <v>591</v>
      </c>
      <c r="F96" s="1">
        <v>5000255521</v>
      </c>
      <c r="G96" s="1">
        <v>49</v>
      </c>
      <c r="H96" s="1">
        <v>33</v>
      </c>
      <c r="I96" s="1">
        <f>G96-H96</f>
        <v>16</v>
      </c>
      <c r="J96" s="1">
        <f>D96*I96</f>
        <v>33600</v>
      </c>
    </row>
    <row r="97" spans="1:10" x14ac:dyDescent="0.25">
      <c r="A97" s="1">
        <v>1003078</v>
      </c>
      <c r="B97" s="1" t="s">
        <v>613</v>
      </c>
      <c r="C97" s="1" t="s">
        <v>0</v>
      </c>
      <c r="D97" s="1">
        <v>480</v>
      </c>
      <c r="E97" s="1" t="s">
        <v>597</v>
      </c>
      <c r="F97" s="1">
        <v>5000254334</v>
      </c>
      <c r="G97" s="1">
        <v>49</v>
      </c>
      <c r="H97" s="1">
        <v>33</v>
      </c>
      <c r="I97" s="1">
        <f t="shared" ref="I97:I99" si="53">G97-H97</f>
        <v>16</v>
      </c>
      <c r="J97" s="1">
        <f t="shared" ref="J97:J99" si="54">D97*I97</f>
        <v>7680</v>
      </c>
    </row>
    <row r="98" spans="1:10" x14ac:dyDescent="0.25">
      <c r="A98" s="1">
        <v>1003078</v>
      </c>
      <c r="B98" s="1" t="s">
        <v>613</v>
      </c>
      <c r="C98" s="1" t="s">
        <v>0</v>
      </c>
      <c r="D98" s="1">
        <v>357</v>
      </c>
      <c r="E98" s="1" t="s">
        <v>598</v>
      </c>
      <c r="F98" s="1">
        <v>5000252933</v>
      </c>
      <c r="G98" s="1">
        <v>49</v>
      </c>
      <c r="H98" s="1">
        <v>33</v>
      </c>
      <c r="I98" s="1">
        <f t="shared" si="53"/>
        <v>16</v>
      </c>
      <c r="J98" s="1">
        <f t="shared" si="54"/>
        <v>5712</v>
      </c>
    </row>
    <row r="99" spans="1:10" x14ac:dyDescent="0.25">
      <c r="A99" s="1">
        <v>1003078</v>
      </c>
      <c r="B99" s="1" t="s">
        <v>613</v>
      </c>
      <c r="C99" s="1" t="s">
        <v>0</v>
      </c>
      <c r="D99" s="1">
        <v>100</v>
      </c>
      <c r="E99" s="1" t="s">
        <v>586</v>
      </c>
      <c r="F99" s="1">
        <v>5000252605</v>
      </c>
      <c r="G99" s="1">
        <v>49</v>
      </c>
      <c r="H99" s="1">
        <v>33</v>
      </c>
      <c r="I99" s="1">
        <f t="shared" si="53"/>
        <v>16</v>
      </c>
      <c r="J99" s="1">
        <f t="shared" si="54"/>
        <v>1600</v>
      </c>
    </row>
    <row r="100" spans="1:10" x14ac:dyDescent="0.25">
      <c r="A100" s="1">
        <v>1003084</v>
      </c>
      <c r="B100" s="1" t="s">
        <v>614</v>
      </c>
      <c r="C100" s="1" t="s">
        <v>0</v>
      </c>
      <c r="D100" s="2">
        <v>2600</v>
      </c>
      <c r="E100" s="1" t="s">
        <v>608</v>
      </c>
      <c r="F100" s="1">
        <v>5000254853</v>
      </c>
      <c r="G100" s="1">
        <v>10.8</v>
      </c>
      <c r="H100" s="1">
        <v>10</v>
      </c>
      <c r="I100" s="1">
        <f t="shared" ref="I100" si="55">G100-H100</f>
        <v>0.80000000000000071</v>
      </c>
      <c r="J100" s="1">
        <f t="shared" ref="J100" si="56">D100*I100</f>
        <v>2080.0000000000018</v>
      </c>
    </row>
    <row r="101" spans="1:10" x14ac:dyDescent="0.25">
      <c r="A101" s="1">
        <v>1003084</v>
      </c>
      <c r="B101" s="1" t="s">
        <v>614</v>
      </c>
      <c r="C101" s="1" t="s">
        <v>0</v>
      </c>
      <c r="D101" s="1">
        <v>357</v>
      </c>
      <c r="E101" s="1" t="s">
        <v>598</v>
      </c>
      <c r="F101" s="1">
        <v>5000252931</v>
      </c>
      <c r="G101" s="1">
        <v>10.8</v>
      </c>
      <c r="H101" s="1">
        <v>10</v>
      </c>
      <c r="I101" s="1">
        <f t="shared" ref="I101:I102" si="57">G101-H101</f>
        <v>0.80000000000000071</v>
      </c>
      <c r="J101" s="1">
        <f t="shared" ref="J101:J102" si="58">D101*I101</f>
        <v>285.60000000000025</v>
      </c>
    </row>
    <row r="102" spans="1:10" x14ac:dyDescent="0.25">
      <c r="A102" s="1">
        <v>1003084</v>
      </c>
      <c r="B102" s="1" t="s">
        <v>614</v>
      </c>
      <c r="C102" s="1" t="s">
        <v>0</v>
      </c>
      <c r="D102" s="1">
        <v>100</v>
      </c>
      <c r="E102" s="1" t="s">
        <v>586</v>
      </c>
      <c r="F102" s="1">
        <v>5000252604</v>
      </c>
      <c r="G102" s="1">
        <v>10.8</v>
      </c>
      <c r="H102" s="1">
        <v>10</v>
      </c>
      <c r="I102" s="1">
        <f t="shared" si="57"/>
        <v>0.80000000000000071</v>
      </c>
      <c r="J102" s="1">
        <f t="shared" si="58"/>
        <v>80.000000000000071</v>
      </c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 t="s">
        <v>21</v>
      </c>
      <c r="J103" s="1">
        <f>SUM(J96:J102)</f>
        <v>51037.599999999999</v>
      </c>
    </row>
    <row r="104" spans="1:10" x14ac:dyDescent="0.25">
      <c r="A104" t="s">
        <v>617</v>
      </c>
    </row>
    <row r="105" spans="1:10" x14ac:dyDescent="0.25">
      <c r="A105" s="1" t="s">
        <v>167</v>
      </c>
      <c r="B105" s="1" t="s">
        <v>169</v>
      </c>
      <c r="C105" s="1"/>
      <c r="D105" s="1" t="s">
        <v>22</v>
      </c>
      <c r="E105" s="1"/>
      <c r="F105" s="1" t="s">
        <v>618</v>
      </c>
      <c r="G105" s="1" t="s">
        <v>619</v>
      </c>
      <c r="H105" s="1" t="s">
        <v>210</v>
      </c>
      <c r="I105" s="1" t="s">
        <v>465</v>
      </c>
      <c r="J105" s="1" t="s">
        <v>21</v>
      </c>
    </row>
    <row r="106" spans="1:10" x14ac:dyDescent="0.25">
      <c r="A106" s="1">
        <v>1001930</v>
      </c>
      <c r="B106" s="1" t="s">
        <v>615</v>
      </c>
      <c r="C106" s="1" t="s">
        <v>616</v>
      </c>
      <c r="D106" s="2">
        <v>51000</v>
      </c>
      <c r="E106" s="1" t="s">
        <v>590</v>
      </c>
      <c r="F106" s="1">
        <v>5000251527</v>
      </c>
      <c r="G106" s="1">
        <v>800</v>
      </c>
      <c r="H106" s="1">
        <v>1050</v>
      </c>
      <c r="I106" s="1">
        <f>H106-G106</f>
        <v>250</v>
      </c>
      <c r="J106" s="1">
        <f>I106*D106/1000</f>
        <v>12750</v>
      </c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 t="s">
        <v>21</v>
      </c>
      <c r="J108" s="1">
        <f>J106</f>
        <v>12750</v>
      </c>
    </row>
    <row r="111" spans="1:10" x14ac:dyDescent="0.25">
      <c r="A111" s="1" t="s">
        <v>167</v>
      </c>
      <c r="B111" s="1" t="s">
        <v>169</v>
      </c>
      <c r="C111" s="1"/>
      <c r="D111" s="1" t="s">
        <v>22</v>
      </c>
      <c r="E111" s="1"/>
      <c r="F111" s="1" t="s">
        <v>618</v>
      </c>
      <c r="G111" s="1" t="s">
        <v>619</v>
      </c>
      <c r="H111" s="1" t="s">
        <v>210</v>
      </c>
      <c r="I111" s="1" t="s">
        <v>465</v>
      </c>
      <c r="J111" s="1" t="s">
        <v>21</v>
      </c>
    </row>
    <row r="112" spans="1:10" x14ac:dyDescent="0.25">
      <c r="A112" s="1">
        <v>1002799</v>
      </c>
      <c r="B112" s="1" t="s">
        <v>620</v>
      </c>
      <c r="C112" s="1" t="s">
        <v>0</v>
      </c>
      <c r="D112" s="2">
        <v>2700</v>
      </c>
      <c r="E112" s="1" t="s">
        <v>621</v>
      </c>
      <c r="F112" s="1">
        <v>5000240564</v>
      </c>
      <c r="G112" s="1">
        <v>651.63</v>
      </c>
      <c r="H112" s="1">
        <v>3325</v>
      </c>
      <c r="I112" s="1">
        <f>H112-G112</f>
        <v>2673.37</v>
      </c>
      <c r="J112" s="1">
        <f>I112*D112/1000</f>
        <v>7218.0990000000002</v>
      </c>
    </row>
    <row r="114" spans="1:10" x14ac:dyDescent="0.25">
      <c r="A114" s="1" t="s">
        <v>167</v>
      </c>
      <c r="B114" s="1" t="s">
        <v>169</v>
      </c>
      <c r="C114" s="1"/>
      <c r="D114" s="1" t="s">
        <v>22</v>
      </c>
      <c r="E114" s="1"/>
      <c r="F114" s="1" t="s">
        <v>618</v>
      </c>
      <c r="G114" s="1" t="s">
        <v>619</v>
      </c>
      <c r="H114" s="1" t="s">
        <v>210</v>
      </c>
      <c r="I114" s="1" t="s">
        <v>465</v>
      </c>
      <c r="J114" s="1" t="s">
        <v>21</v>
      </c>
    </row>
    <row r="115" spans="1:10" x14ac:dyDescent="0.25">
      <c r="A115" s="1">
        <v>1002949</v>
      </c>
      <c r="B115" s="1" t="s">
        <v>624</v>
      </c>
      <c r="C115" s="1" t="s">
        <v>392</v>
      </c>
      <c r="D115" s="1">
        <v>283.24</v>
      </c>
      <c r="E115" s="1" t="s">
        <v>625</v>
      </c>
      <c r="F115" s="1">
        <v>5000248649</v>
      </c>
      <c r="G115" s="1">
        <v>169.53</v>
      </c>
      <c r="H115" s="1">
        <v>178.17</v>
      </c>
      <c r="I115" s="1">
        <f>H115-G115</f>
        <v>8.6399999999999864</v>
      </c>
      <c r="J115" s="1">
        <f>I115*D115</f>
        <v>2447.1935999999964</v>
      </c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9" spans="1:10" x14ac:dyDescent="0.25">
      <c r="A119" t="s">
        <v>627</v>
      </c>
    </row>
    <row r="120" spans="1:10" x14ac:dyDescent="0.25">
      <c r="A120" s="1"/>
      <c r="B120" s="1"/>
      <c r="C120" s="1"/>
      <c r="D120" s="1"/>
      <c r="E120" s="1"/>
      <c r="F120" s="1"/>
      <c r="G120" s="1"/>
    </row>
    <row r="121" spans="1:10" x14ac:dyDescent="0.25">
      <c r="A121" s="1">
        <v>1003086</v>
      </c>
      <c r="B121" s="1" t="s">
        <v>626</v>
      </c>
      <c r="C121" s="1" t="s">
        <v>0</v>
      </c>
      <c r="D121" s="2">
        <v>1020000</v>
      </c>
      <c r="E121" s="1" t="s">
        <v>591</v>
      </c>
      <c r="F121" s="1">
        <v>5000255628</v>
      </c>
      <c r="G121" s="1">
        <v>105</v>
      </c>
    </row>
    <row r="122" spans="1:10" x14ac:dyDescent="0.25">
      <c r="A122" s="1">
        <v>1003086</v>
      </c>
      <c r="B122" s="1" t="s">
        <v>626</v>
      </c>
      <c r="C122" s="1" t="s">
        <v>0</v>
      </c>
      <c r="D122" s="2">
        <v>11800</v>
      </c>
      <c r="E122" s="1" t="s">
        <v>591</v>
      </c>
      <c r="F122" s="1">
        <v>5000255628</v>
      </c>
      <c r="G122" s="1">
        <v>105</v>
      </c>
    </row>
    <row r="123" spans="1:10" x14ac:dyDescent="0.25">
      <c r="A123" s="1"/>
      <c r="B123" s="1"/>
      <c r="C123" s="1"/>
      <c r="D123" s="1"/>
      <c r="E123" s="1"/>
      <c r="F123" s="1"/>
      <c r="G123" s="1"/>
    </row>
    <row r="124" spans="1:10" x14ac:dyDescent="0.25">
      <c r="A124" s="1"/>
      <c r="B124" s="1"/>
      <c r="C124" s="1"/>
      <c r="D124" s="2">
        <f>SUM(D121:D122)</f>
        <v>1031800</v>
      </c>
      <c r="E124" s="1"/>
      <c r="F124" s="1">
        <f>D124/13333.33</f>
        <v>77.385019346254836</v>
      </c>
      <c r="G124" s="1">
        <f>F124*3000</f>
        <v>232155.05803876452</v>
      </c>
    </row>
    <row r="125" spans="1:10" x14ac:dyDescent="0.25">
      <c r="D125" s="14"/>
    </row>
    <row r="126" spans="1:10" x14ac:dyDescent="0.25">
      <c r="I126" s="5" t="s">
        <v>500</v>
      </c>
      <c r="J126" s="5">
        <f>J112+J108+J103+J93+J79+J73+N73+J46+J38+J14+N14+J115+G124</f>
        <v>504863.68063876446</v>
      </c>
    </row>
  </sheetData>
  <mergeCells count="2">
    <mergeCell ref="K48:N48"/>
    <mergeCell ref="G48:J4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opLeftCell="A2" zoomScale="86" zoomScaleNormal="86" workbookViewId="0">
      <selection activeCell="B14" sqref="B14"/>
    </sheetView>
  </sheetViews>
  <sheetFormatPr defaultColWidth="19.7109375" defaultRowHeight="15" x14ac:dyDescent="0.25"/>
  <cols>
    <col min="2" max="2" width="21.5703125" bestFit="1" customWidth="1"/>
    <col min="3" max="3" width="22.42578125" style="29" customWidth="1"/>
    <col min="4" max="4" width="13.85546875" bestFit="1" customWidth="1"/>
    <col min="5" max="5" width="14.140625" customWidth="1"/>
    <col min="6" max="7" width="20.42578125" bestFit="1" customWidth="1"/>
    <col min="8" max="8" width="15.140625" customWidth="1"/>
    <col min="9" max="9" width="22" bestFit="1" customWidth="1"/>
    <col min="10" max="10" width="10.85546875" customWidth="1"/>
  </cols>
  <sheetData>
    <row r="2" spans="2:10" ht="21" x14ac:dyDescent="0.35">
      <c r="B2" s="71" t="s">
        <v>583</v>
      </c>
    </row>
    <row r="3" spans="2:10" ht="27" x14ac:dyDescent="0.25">
      <c r="B3" s="27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x14ac:dyDescent="0.25">
      <c r="B4" s="30" t="s">
        <v>95</v>
      </c>
      <c r="C4" s="65" t="s">
        <v>27</v>
      </c>
      <c r="D4" s="105">
        <f>'July 2016'!K14+'Consol AUG2016'!D4+'Consol SEP2016'!D4</f>
        <v>23505.2600000001</v>
      </c>
      <c r="E4" s="15" t="s">
        <v>23</v>
      </c>
      <c r="F4" s="15" t="s">
        <v>417</v>
      </c>
      <c r="G4" s="104"/>
      <c r="H4" s="104">
        <f>'July 2016'!K16+'July 2016'!K31+'Consol AUG2016'!H4+'Consol SEP2016'!H4</f>
        <v>603927.85170600121</v>
      </c>
      <c r="I4" s="92" t="s">
        <v>40</v>
      </c>
      <c r="J4" s="23" t="s">
        <v>48</v>
      </c>
    </row>
    <row r="5" spans="2:10" ht="27" x14ac:dyDescent="0.25">
      <c r="B5" s="30" t="s">
        <v>98</v>
      </c>
      <c r="C5" s="65" t="s">
        <v>99</v>
      </c>
      <c r="D5" s="105">
        <f>'July 2016'!G81+'Consol AUG2016'!D5+'Consol SEP2016'!D5</f>
        <v>7458839</v>
      </c>
      <c r="E5" s="15" t="s">
        <v>39</v>
      </c>
      <c r="F5" s="15" t="s">
        <v>100</v>
      </c>
      <c r="G5" s="104"/>
      <c r="H5" s="104">
        <f>'July 2016'!K81+'Consol AUG2016'!H5+'Consol SEP2016'!H5</f>
        <v>116371.2119999998</v>
      </c>
      <c r="I5" s="92" t="s">
        <v>101</v>
      </c>
      <c r="J5" s="23" t="s">
        <v>48</v>
      </c>
    </row>
    <row r="6" spans="2:10" x14ac:dyDescent="0.25">
      <c r="B6" s="30" t="s">
        <v>580</v>
      </c>
      <c r="C6" s="65" t="s">
        <v>581</v>
      </c>
      <c r="D6" s="105">
        <f>'Consol AUG2016'!D6+'Consol SEP2016'!D6</f>
        <v>3397870</v>
      </c>
      <c r="E6" s="15"/>
      <c r="F6" s="15" t="s">
        <v>582</v>
      </c>
      <c r="G6" s="104">
        <f>'Consol AUG2016'!G6+'Consol SEP2016'!G6</f>
        <v>17270.470769230786</v>
      </c>
      <c r="H6" s="104"/>
      <c r="I6" s="92"/>
      <c r="J6" s="23"/>
    </row>
    <row r="7" spans="2:10" ht="27" x14ac:dyDescent="0.25">
      <c r="B7" s="30" t="s">
        <v>98</v>
      </c>
      <c r="C7" s="65" t="s">
        <v>102</v>
      </c>
      <c r="D7" s="105">
        <f>'July 2016'!G103+'Consol AUG2016'!D7+'Consol SEP2016'!D7</f>
        <v>56043.1</v>
      </c>
      <c r="E7" s="15" t="s">
        <v>23</v>
      </c>
      <c r="F7" s="15" t="s">
        <v>103</v>
      </c>
      <c r="G7" s="104"/>
      <c r="H7" s="104">
        <f>'July 2016'!L103+'Consol AUG2016'!H7+'Consol SEP2016'!H7</f>
        <v>147209.30499999985</v>
      </c>
      <c r="I7" s="92" t="s">
        <v>101</v>
      </c>
      <c r="J7" s="23" t="s">
        <v>48</v>
      </c>
    </row>
    <row r="8" spans="2:10" x14ac:dyDescent="0.25">
      <c r="B8" s="30" t="s">
        <v>162</v>
      </c>
      <c r="C8" s="65" t="s">
        <v>165</v>
      </c>
      <c r="D8" s="105">
        <f>'July 2016'!F114</f>
        <v>4549</v>
      </c>
      <c r="E8" s="15"/>
      <c r="F8" s="15"/>
      <c r="G8" s="104">
        <f>'July 2016'!J114</f>
        <v>4878.7999999999811</v>
      </c>
      <c r="H8" s="104"/>
      <c r="I8" s="92" t="s">
        <v>430</v>
      </c>
      <c r="J8" s="23" t="s">
        <v>48</v>
      </c>
    </row>
    <row r="9" spans="2:10" ht="27" x14ac:dyDescent="0.25">
      <c r="B9" s="30" t="s">
        <v>308</v>
      </c>
      <c r="C9" s="72" t="s">
        <v>30</v>
      </c>
      <c r="D9" s="105">
        <f>'Consol AUG2016'!D8+'Consol SEP2016'!D10</f>
        <v>3267.4</v>
      </c>
      <c r="E9" s="15" t="s">
        <v>23</v>
      </c>
      <c r="F9" s="15" t="s">
        <v>307</v>
      </c>
      <c r="G9" s="104">
        <f>'Consol AUG2016'!G8+'Consol SEP2016'!G10</f>
        <v>21454.852000000035</v>
      </c>
      <c r="H9" s="104"/>
      <c r="I9" s="92" t="s">
        <v>97</v>
      </c>
      <c r="J9" s="23" t="s">
        <v>48</v>
      </c>
    </row>
    <row r="10" spans="2:10" x14ac:dyDescent="0.25">
      <c r="B10" s="30" t="s">
        <v>299</v>
      </c>
      <c r="C10" s="65" t="s">
        <v>418</v>
      </c>
      <c r="D10" s="105">
        <f>'July 2016'!F123+'Consol SEP2016'!D8</f>
        <v>88934</v>
      </c>
      <c r="E10" s="15" t="s">
        <v>29</v>
      </c>
      <c r="F10" s="15" t="s">
        <v>419</v>
      </c>
      <c r="G10" s="104">
        <f>'July 2016'!K123+'Consol AUG2016'!G9</f>
        <v>34836.046000000002</v>
      </c>
      <c r="H10" s="104"/>
      <c r="I10" s="92" t="s">
        <v>301</v>
      </c>
      <c r="J10" s="23" t="s">
        <v>48</v>
      </c>
    </row>
    <row r="11" spans="2:10" ht="27" x14ac:dyDescent="0.25">
      <c r="B11" s="30" t="s">
        <v>299</v>
      </c>
      <c r="C11" s="65" t="s">
        <v>420</v>
      </c>
      <c r="D11" s="105">
        <f>'July 2016'!G134</f>
        <v>164600</v>
      </c>
      <c r="E11" s="15" t="s">
        <v>29</v>
      </c>
      <c r="F11" s="15" t="s">
        <v>433</v>
      </c>
      <c r="G11" s="104">
        <f>'July 2016'!K134</f>
        <v>45044.000000000007</v>
      </c>
      <c r="H11" s="104"/>
      <c r="I11" s="92" t="s">
        <v>314</v>
      </c>
      <c r="J11" s="23" t="s">
        <v>48</v>
      </c>
    </row>
    <row r="12" spans="2:10" ht="30" x14ac:dyDescent="0.25">
      <c r="B12" s="69" t="s">
        <v>76</v>
      </c>
      <c r="C12" s="62" t="s">
        <v>68</v>
      </c>
      <c r="D12" s="55">
        <f>'Consol AUG2016'!D11+'Consol SEP2016'!D9</f>
        <v>2831.8</v>
      </c>
      <c r="E12" s="56" t="s">
        <v>23</v>
      </c>
      <c r="F12" s="56" t="s">
        <v>69</v>
      </c>
      <c r="G12" s="88"/>
      <c r="H12" s="88">
        <f>'Consol AUG2016'!H11+'Consol SEP2016'!H9</f>
        <v>115862.00000000001</v>
      </c>
      <c r="I12" s="79" t="s">
        <v>40</v>
      </c>
      <c r="J12" s="58" t="s">
        <v>48</v>
      </c>
    </row>
    <row r="13" spans="2:10" ht="27" x14ac:dyDescent="0.25">
      <c r="B13" s="30" t="s">
        <v>327</v>
      </c>
      <c r="C13" s="65" t="s">
        <v>323</v>
      </c>
      <c r="D13" s="105"/>
      <c r="E13" s="15"/>
      <c r="F13" s="101">
        <v>0.01</v>
      </c>
      <c r="G13" s="104">
        <v>141626</v>
      </c>
      <c r="H13" s="104"/>
      <c r="I13" s="92" t="s">
        <v>431</v>
      </c>
      <c r="J13" s="23" t="s">
        <v>48</v>
      </c>
    </row>
    <row r="14" spans="2:10" x14ac:dyDescent="0.25">
      <c r="B14" s="62" t="s">
        <v>421</v>
      </c>
      <c r="C14" s="62" t="s">
        <v>422</v>
      </c>
      <c r="D14" s="84">
        <f>'July 2016'!G142</f>
        <v>8820</v>
      </c>
      <c r="E14" s="56" t="s">
        <v>29</v>
      </c>
      <c r="F14" s="56" t="s">
        <v>426</v>
      </c>
      <c r="G14" s="84">
        <f>'July 2016'!H142</f>
        <v>125067.59999999999</v>
      </c>
      <c r="H14" s="84"/>
      <c r="I14" s="96" t="s">
        <v>423</v>
      </c>
      <c r="J14" s="58" t="s">
        <v>49</v>
      </c>
    </row>
    <row r="15" spans="2:10" x14ac:dyDescent="0.25">
      <c r="B15" s="62" t="s">
        <v>424</v>
      </c>
      <c r="C15" s="62" t="s">
        <v>425</v>
      </c>
      <c r="D15" s="84">
        <v>6</v>
      </c>
      <c r="E15" s="56" t="s">
        <v>427</v>
      </c>
      <c r="F15" s="56" t="s">
        <v>428</v>
      </c>
      <c r="G15" s="84">
        <f>8*6*1210</f>
        <v>58080</v>
      </c>
      <c r="H15" s="84"/>
      <c r="I15" s="96" t="s">
        <v>429</v>
      </c>
      <c r="J15" s="58" t="s">
        <v>49</v>
      </c>
    </row>
    <row r="16" spans="2:10" ht="30" x14ac:dyDescent="0.25">
      <c r="B16" s="62" t="s">
        <v>572</v>
      </c>
      <c r="C16" s="62" t="s">
        <v>47</v>
      </c>
      <c r="D16" s="84">
        <f>'July 2016'!J159+'Consol SEP2016'!D11</f>
        <v>702818</v>
      </c>
      <c r="E16" s="56" t="s">
        <v>29</v>
      </c>
      <c r="F16" s="56" t="s">
        <v>55</v>
      </c>
      <c r="G16" s="84">
        <f>'July 2016'!N159+'Consol SEP2016'!G11</f>
        <v>126792.08</v>
      </c>
      <c r="H16" s="84"/>
      <c r="I16" s="96" t="s">
        <v>41</v>
      </c>
      <c r="J16" s="58" t="s">
        <v>48</v>
      </c>
    </row>
    <row r="17" spans="2:10" ht="42.75" x14ac:dyDescent="0.25">
      <c r="B17" s="62" t="s">
        <v>522</v>
      </c>
      <c r="C17" s="62" t="s">
        <v>573</v>
      </c>
      <c r="D17" s="84">
        <f>'Consol AUG2016'!D10+'Consol SEP2016'!D12</f>
        <v>873650</v>
      </c>
      <c r="E17" s="56" t="s">
        <v>29</v>
      </c>
      <c r="F17" s="56" t="s">
        <v>525</v>
      </c>
      <c r="G17" s="84">
        <f>'Consol AUG2016'!G10+'Consol SEP2016'!G12</f>
        <v>67679</v>
      </c>
      <c r="H17" s="84"/>
      <c r="I17" s="96" t="s">
        <v>41</v>
      </c>
      <c r="J17" s="58" t="s">
        <v>48</v>
      </c>
    </row>
    <row r="18" spans="2:10" ht="30" x14ac:dyDescent="0.25">
      <c r="B18" s="62" t="s">
        <v>576</v>
      </c>
      <c r="C18" s="62" t="s">
        <v>577</v>
      </c>
      <c r="D18" s="84">
        <v>189000</v>
      </c>
      <c r="E18" s="56" t="s">
        <v>25</v>
      </c>
      <c r="F18" s="56" t="s">
        <v>578</v>
      </c>
      <c r="G18" s="84">
        <f>'Consol SEP2016'!G13</f>
        <v>91665</v>
      </c>
      <c r="H18" s="84"/>
      <c r="I18" s="96" t="s">
        <v>579</v>
      </c>
      <c r="J18" s="58"/>
    </row>
    <row r="19" spans="2:10" ht="30" x14ac:dyDescent="0.25">
      <c r="B19" s="69" t="s">
        <v>260</v>
      </c>
      <c r="C19" s="62" t="s">
        <v>219</v>
      </c>
      <c r="D19" s="55">
        <f>'Consol SEP2016'!D14</f>
        <v>316000</v>
      </c>
      <c r="E19" s="56" t="s">
        <v>25</v>
      </c>
      <c r="F19" s="56" t="s">
        <v>297</v>
      </c>
      <c r="G19" s="88"/>
      <c r="H19" s="88">
        <f>'Consol SEP2016'!H14</f>
        <v>14062</v>
      </c>
      <c r="I19" s="79"/>
      <c r="J19" s="58" t="s">
        <v>49</v>
      </c>
    </row>
    <row r="20" spans="2:10" ht="19.5" x14ac:dyDescent="0.25">
      <c r="B20" s="19"/>
      <c r="C20" s="201" t="s">
        <v>42</v>
      </c>
      <c r="D20" s="202"/>
      <c r="E20" s="31"/>
      <c r="F20" s="31"/>
      <c r="G20" s="93">
        <f>SUM(G4:G19)</f>
        <v>734393.84876923077</v>
      </c>
      <c r="H20" s="135">
        <f>SUM(H4:H19)</f>
        <v>997432.36870600085</v>
      </c>
      <c r="I20" s="94">
        <f>G20+H20</f>
        <v>1731826.2174752317</v>
      </c>
      <c r="J20" s="23"/>
    </row>
    <row r="25" spans="2:10" x14ac:dyDescent="0.25">
      <c r="B25" t="s">
        <v>294</v>
      </c>
    </row>
    <row r="26" spans="2:10" x14ac:dyDescent="0.25">
      <c r="B26" t="s">
        <v>649</v>
      </c>
    </row>
  </sheetData>
  <mergeCells count="1">
    <mergeCell ref="C20:D2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zoomScale="86" zoomScaleNormal="86" workbookViewId="0">
      <selection activeCell="C19" sqref="C19"/>
    </sheetView>
  </sheetViews>
  <sheetFormatPr defaultColWidth="19.7109375" defaultRowHeight="15" x14ac:dyDescent="0.25"/>
  <cols>
    <col min="2" max="2" width="21.5703125" bestFit="1" customWidth="1"/>
    <col min="3" max="3" width="34.5703125" style="29" customWidth="1"/>
    <col min="4" max="4" width="13.85546875" bestFit="1" customWidth="1"/>
    <col min="5" max="5" width="14.140625" customWidth="1"/>
    <col min="6" max="7" width="20.42578125" bestFit="1" customWidth="1"/>
    <col min="8" max="8" width="15.140625" customWidth="1"/>
    <col min="9" max="9" width="24" bestFit="1" customWidth="1"/>
    <col min="10" max="10" width="10.85546875" customWidth="1"/>
  </cols>
  <sheetData>
    <row r="2" spans="2:10" ht="21" x14ac:dyDescent="0.35">
      <c r="B2" s="71" t="s">
        <v>584</v>
      </c>
    </row>
    <row r="3" spans="2:10" ht="27" x14ac:dyDescent="0.25">
      <c r="B3" s="27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x14ac:dyDescent="0.25">
      <c r="B4" s="30" t="s">
        <v>95</v>
      </c>
      <c r="C4" s="65" t="s">
        <v>27</v>
      </c>
      <c r="D4" s="105">
        <f>'SEP2016'!D15</f>
        <v>5166.7999999999993</v>
      </c>
      <c r="E4" s="15" t="s">
        <v>23</v>
      </c>
      <c r="F4" s="15" t="s">
        <v>417</v>
      </c>
      <c r="G4" s="104"/>
      <c r="H4" s="104">
        <f>'SEP2016'!L16</f>
        <v>128265.83775702657</v>
      </c>
      <c r="I4" s="92" t="s">
        <v>40</v>
      </c>
      <c r="J4" s="23" t="s">
        <v>48</v>
      </c>
    </row>
    <row r="5" spans="2:10" ht="27" x14ac:dyDescent="0.25">
      <c r="B5" s="131" t="s">
        <v>568</v>
      </c>
      <c r="C5" s="65" t="s">
        <v>99</v>
      </c>
      <c r="D5" s="105">
        <f>'SEP2016'!D108</f>
        <v>3390330</v>
      </c>
      <c r="E5" s="15" t="s">
        <v>39</v>
      </c>
      <c r="F5" s="15" t="s">
        <v>100</v>
      </c>
      <c r="G5" s="104"/>
      <c r="H5" s="104">
        <f>'SEP2016'!I109</f>
        <v>51569.679999999906</v>
      </c>
      <c r="I5" s="92" t="s">
        <v>101</v>
      </c>
      <c r="J5" s="23"/>
    </row>
    <row r="6" spans="2:10" ht="27" x14ac:dyDescent="0.25">
      <c r="B6" s="131" t="s">
        <v>569</v>
      </c>
      <c r="C6" s="65" t="s">
        <v>570</v>
      </c>
      <c r="D6" s="105">
        <f>'SEP2016'!E108</f>
        <v>2344870</v>
      </c>
      <c r="E6" s="15" t="s">
        <v>39</v>
      </c>
      <c r="F6" s="15" t="s">
        <v>571</v>
      </c>
      <c r="G6" s="104">
        <f>'SEP2016'!M109</f>
        <v>12115.270769230783</v>
      </c>
      <c r="H6" s="104"/>
      <c r="I6" s="92" t="s">
        <v>101</v>
      </c>
      <c r="J6" s="23" t="s">
        <v>48</v>
      </c>
    </row>
    <row r="7" spans="2:10" ht="27" x14ac:dyDescent="0.25">
      <c r="B7" s="30" t="s">
        <v>98</v>
      </c>
      <c r="C7" s="65" t="s">
        <v>102</v>
      </c>
      <c r="D7" s="105">
        <f>'SEP2016'!F127</f>
        <v>17635.29</v>
      </c>
      <c r="E7" s="15" t="s">
        <v>23</v>
      </c>
      <c r="F7" s="15" t="s">
        <v>103</v>
      </c>
      <c r="G7" s="104"/>
      <c r="H7" s="104">
        <f>'SEP2016'!J127</f>
        <v>49941.276499999913</v>
      </c>
      <c r="I7" s="92" t="s">
        <v>101</v>
      </c>
      <c r="J7" s="23" t="s">
        <v>48</v>
      </c>
    </row>
    <row r="8" spans="2:10" x14ac:dyDescent="0.25">
      <c r="B8" s="30" t="s">
        <v>299</v>
      </c>
      <c r="C8" s="65" t="s">
        <v>418</v>
      </c>
      <c r="D8" s="105">
        <f>'SEP2016'!F133</f>
        <v>21000</v>
      </c>
      <c r="E8" s="15" t="s">
        <v>29</v>
      </c>
      <c r="F8" s="15" t="s">
        <v>419</v>
      </c>
      <c r="G8" s="104">
        <f>'SEP2016'!J133</f>
        <v>12075</v>
      </c>
      <c r="H8" s="104"/>
      <c r="I8" s="92" t="s">
        <v>301</v>
      </c>
      <c r="J8" s="23" t="s">
        <v>48</v>
      </c>
    </row>
    <row r="9" spans="2:10" ht="30" x14ac:dyDescent="0.25">
      <c r="B9" s="69" t="s">
        <v>76</v>
      </c>
      <c r="C9" s="62" t="s">
        <v>68</v>
      </c>
      <c r="D9" s="55">
        <f>'SEP2016'!F172</f>
        <v>1684.1000000000001</v>
      </c>
      <c r="E9" s="56" t="s">
        <v>23</v>
      </c>
      <c r="F9" s="56" t="s">
        <v>69</v>
      </c>
      <c r="G9" s="88"/>
      <c r="H9" s="88">
        <f>'SEP2016'!N172</f>
        <v>69813.599999999991</v>
      </c>
      <c r="I9" s="79" t="s">
        <v>40</v>
      </c>
      <c r="J9" s="58" t="s">
        <v>48</v>
      </c>
    </row>
    <row r="10" spans="2:10" ht="27" x14ac:dyDescent="0.25">
      <c r="B10" s="30" t="s">
        <v>308</v>
      </c>
      <c r="C10" s="72" t="s">
        <v>30</v>
      </c>
      <c r="D10" s="105">
        <f>'SEP2016'!F161</f>
        <v>511.2</v>
      </c>
      <c r="E10" s="15" t="s">
        <v>23</v>
      </c>
      <c r="F10" s="15" t="s">
        <v>307</v>
      </c>
      <c r="G10" s="104">
        <f>'SEP2016'!J161</f>
        <v>3476.1600000000058</v>
      </c>
      <c r="H10" s="104"/>
      <c r="I10" s="92" t="s">
        <v>97</v>
      </c>
      <c r="J10" s="23" t="s">
        <v>48</v>
      </c>
    </row>
    <row r="11" spans="2:10" x14ac:dyDescent="0.25">
      <c r="B11" s="62" t="s">
        <v>572</v>
      </c>
      <c r="C11" s="62" t="s">
        <v>47</v>
      </c>
      <c r="D11" s="55">
        <f>'SEP2016'!F154</f>
        <v>540700</v>
      </c>
      <c r="E11" s="56" t="s">
        <v>29</v>
      </c>
      <c r="F11" s="56" t="s">
        <v>55</v>
      </c>
      <c r="G11" s="88">
        <f>'SEP2016'!J154</f>
        <v>115365</v>
      </c>
      <c r="H11" s="88"/>
      <c r="I11" s="79" t="s">
        <v>41</v>
      </c>
      <c r="J11" s="58" t="s">
        <v>48</v>
      </c>
    </row>
    <row r="12" spans="2:10" ht="27.75" x14ac:dyDescent="0.25">
      <c r="B12" s="62" t="s">
        <v>575</v>
      </c>
      <c r="C12" s="62" t="s">
        <v>573</v>
      </c>
      <c r="D12" s="55">
        <f>'SEP2016'!E154</f>
        <v>486450</v>
      </c>
      <c r="E12" s="56" t="s">
        <v>29</v>
      </c>
      <c r="F12" s="56" t="s">
        <v>574</v>
      </c>
      <c r="G12" s="88">
        <f>'SEP2016'!N154</f>
        <v>34863</v>
      </c>
      <c r="H12" s="88"/>
      <c r="I12" s="79" t="s">
        <v>41</v>
      </c>
      <c r="J12" s="58"/>
    </row>
    <row r="13" spans="2:10" x14ac:dyDescent="0.25">
      <c r="B13" s="62" t="s">
        <v>576</v>
      </c>
      <c r="C13" s="62" t="s">
        <v>577</v>
      </c>
      <c r="D13" s="84">
        <v>189000</v>
      </c>
      <c r="E13" s="56" t="s">
        <v>25</v>
      </c>
      <c r="F13" s="56" t="s">
        <v>578</v>
      </c>
      <c r="G13" s="84">
        <f>'SEP2016'!J181</f>
        <v>91665</v>
      </c>
      <c r="H13" s="84"/>
      <c r="I13" s="96" t="s">
        <v>579</v>
      </c>
      <c r="J13" s="58"/>
    </row>
    <row r="14" spans="2:10" x14ac:dyDescent="0.25">
      <c r="B14" s="69" t="s">
        <v>260</v>
      </c>
      <c r="C14" s="62" t="s">
        <v>219</v>
      </c>
      <c r="D14" s="55">
        <f>'SEP2016'!I185</f>
        <v>316000</v>
      </c>
      <c r="E14" s="56" t="s">
        <v>25</v>
      </c>
      <c r="F14" s="56" t="s">
        <v>297</v>
      </c>
      <c r="G14" s="88"/>
      <c r="H14" s="88">
        <f>'SEP2016'!L185</f>
        <v>14062</v>
      </c>
      <c r="I14" s="79"/>
      <c r="J14" s="58" t="s">
        <v>49</v>
      </c>
    </row>
    <row r="15" spans="2:10" ht="19.5" x14ac:dyDescent="0.25">
      <c r="B15" s="19"/>
      <c r="C15" s="201" t="s">
        <v>42</v>
      </c>
      <c r="D15" s="202"/>
      <c r="E15" s="31"/>
      <c r="F15" s="31"/>
      <c r="G15" s="93">
        <f>SUM(G4:G14)</f>
        <v>269559.43076923082</v>
      </c>
      <c r="H15" s="93">
        <f>SUM(H4:H14)</f>
        <v>313652.39425702638</v>
      </c>
      <c r="I15" s="94">
        <f>G15+H15</f>
        <v>583211.8250262572</v>
      </c>
      <c r="J15" s="23"/>
    </row>
  </sheetData>
  <mergeCells count="1">
    <mergeCell ref="C15:D1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topLeftCell="A139" workbookViewId="0">
      <selection activeCell="A156" sqref="A156:J161"/>
    </sheetView>
  </sheetViews>
  <sheetFormatPr defaultRowHeight="15" x14ac:dyDescent="0.25"/>
  <cols>
    <col min="1" max="1" width="10.140625" bestFit="1" customWidth="1"/>
    <col min="2" max="2" width="41" customWidth="1"/>
    <col min="3" max="3" width="11" bestFit="1" customWidth="1"/>
    <col min="6" max="6" width="12.5703125" bestFit="1" customWidth="1"/>
    <col min="7" max="7" width="20.42578125" customWidth="1"/>
    <col min="8" max="8" width="10.42578125" bestFit="1" customWidth="1"/>
    <col min="9" max="9" width="15.42578125" customWidth="1"/>
    <col min="10" max="10" width="16.7109375" bestFit="1" customWidth="1"/>
    <col min="11" max="11" width="12.85546875" bestFit="1" customWidth="1"/>
    <col min="12" max="12" width="16.140625" bestFit="1" customWidth="1"/>
    <col min="13" max="13" width="12" bestFit="1" customWidth="1"/>
    <col min="17" max="17" width="10.140625" bestFit="1" customWidth="1"/>
  </cols>
  <sheetData>
    <row r="1" spans="1:17" ht="45" x14ac:dyDescent="0.25">
      <c r="A1" s="1" t="s">
        <v>167</v>
      </c>
      <c r="B1" s="1" t="s">
        <v>169</v>
      </c>
      <c r="C1" s="1"/>
      <c r="D1" s="1" t="s">
        <v>22</v>
      </c>
      <c r="E1" s="1"/>
      <c r="F1" s="25" t="s">
        <v>61</v>
      </c>
      <c r="G1" s="25" t="s">
        <v>62</v>
      </c>
      <c r="H1" s="12" t="s">
        <v>52</v>
      </c>
      <c r="I1" s="12" t="s">
        <v>21</v>
      </c>
      <c r="J1" s="17" t="s">
        <v>53</v>
      </c>
      <c r="K1" s="17" t="s">
        <v>54</v>
      </c>
      <c r="L1" s="17" t="s">
        <v>1</v>
      </c>
      <c r="M1" s="17" t="s">
        <v>2</v>
      </c>
      <c r="N1" s="17" t="s">
        <v>3</v>
      </c>
      <c r="O1" s="17" t="s">
        <v>4</v>
      </c>
    </row>
    <row r="2" spans="1:17" x14ac:dyDescent="0.25">
      <c r="A2" s="1"/>
      <c r="B2" s="1"/>
      <c r="C2" s="1"/>
      <c r="D2" s="1"/>
      <c r="E2" s="1"/>
      <c r="F2" s="25"/>
      <c r="G2" s="25"/>
      <c r="H2" s="12"/>
      <c r="I2" s="12"/>
      <c r="J2" s="17"/>
      <c r="K2" s="17"/>
      <c r="L2" s="17"/>
      <c r="M2" s="17"/>
      <c r="N2" s="17"/>
      <c r="O2" s="17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x14ac:dyDescent="0.25">
      <c r="A5" s="1" t="s">
        <v>529</v>
      </c>
      <c r="B5" s="1" t="s">
        <v>530</v>
      </c>
      <c r="C5" s="1">
        <v>5000248085</v>
      </c>
      <c r="D5" s="1">
        <v>595.6</v>
      </c>
      <c r="E5" s="1"/>
      <c r="F5" s="1">
        <v>163.30000000000001</v>
      </c>
      <c r="G5" s="1">
        <v>164.5</v>
      </c>
      <c r="H5" s="1">
        <f>G5-F5</f>
        <v>1.1999999999999886</v>
      </c>
      <c r="I5" s="1">
        <f>H5*D5</f>
        <v>714.71999999999321</v>
      </c>
      <c r="J5" s="9">
        <v>26</v>
      </c>
      <c r="K5" s="9">
        <v>24.67</v>
      </c>
      <c r="L5" s="7">
        <f t="shared" ref="L5" si="0">D5/J5</f>
        <v>22.907692307692308</v>
      </c>
      <c r="M5" s="7">
        <f t="shared" ref="M5" si="1">D5/K5</f>
        <v>24.142683421159301</v>
      </c>
      <c r="N5" s="7">
        <f t="shared" ref="N5" si="2">M5-L5</f>
        <v>1.2349911134669931</v>
      </c>
      <c r="O5" s="10">
        <f>N5*J5*G5</f>
        <v>5282.0569922983295</v>
      </c>
    </row>
    <row r="6" spans="1:17" x14ac:dyDescent="0.25">
      <c r="A6" s="1" t="s">
        <v>529</v>
      </c>
      <c r="B6" s="1" t="s">
        <v>530</v>
      </c>
      <c r="C6" s="1">
        <v>5000248086</v>
      </c>
      <c r="D6" s="1">
        <v>609</v>
      </c>
      <c r="E6" s="1"/>
      <c r="F6" s="1">
        <v>163.30000000000001</v>
      </c>
      <c r="G6" s="1">
        <v>164.5</v>
      </c>
      <c r="H6" s="1">
        <f t="shared" ref="H6:H14" si="3">G6-F6</f>
        <v>1.1999999999999886</v>
      </c>
      <c r="I6" s="1">
        <f t="shared" ref="I6:I14" si="4">H6*D6</f>
        <v>730.79999999999313</v>
      </c>
      <c r="J6" s="9">
        <v>26</v>
      </c>
      <c r="K6" s="9">
        <v>24.67</v>
      </c>
      <c r="L6" s="7">
        <f t="shared" ref="L6:L8" si="5">D6/J6</f>
        <v>23.423076923076923</v>
      </c>
      <c r="M6" s="7">
        <f t="shared" ref="M6:M8" si="6">D6/K6</f>
        <v>24.685853263072556</v>
      </c>
      <c r="N6" s="7">
        <f t="shared" ref="N6:N8" si="7">M6-L6</f>
        <v>1.2627763399956322</v>
      </c>
      <c r="O6" s="10">
        <f t="shared" ref="O6:O8" si="8">N6*J6*G6</f>
        <v>5400.8944061613192</v>
      </c>
    </row>
    <row r="7" spans="1:17" x14ac:dyDescent="0.25">
      <c r="A7" s="1" t="s">
        <v>529</v>
      </c>
      <c r="B7" s="1" t="s">
        <v>530</v>
      </c>
      <c r="C7" s="1">
        <v>5000248087</v>
      </c>
      <c r="D7" s="1">
        <v>119.5</v>
      </c>
      <c r="E7" s="1"/>
      <c r="F7" s="1">
        <v>163.30000000000001</v>
      </c>
      <c r="G7" s="1">
        <v>164.5</v>
      </c>
      <c r="H7" s="1">
        <f t="shared" si="3"/>
        <v>1.1999999999999886</v>
      </c>
      <c r="I7" s="1">
        <f t="shared" si="4"/>
        <v>143.39999999999864</v>
      </c>
      <c r="J7" s="9">
        <v>26</v>
      </c>
      <c r="K7" s="9">
        <v>24.67</v>
      </c>
      <c r="L7" s="7">
        <f t="shared" si="5"/>
        <v>4.5961538461538458</v>
      </c>
      <c r="M7" s="7">
        <f t="shared" si="6"/>
        <v>4.8439400081070119</v>
      </c>
      <c r="N7" s="7">
        <f t="shared" si="7"/>
        <v>0.24778616195316605</v>
      </c>
      <c r="O7" s="10">
        <f t="shared" si="8"/>
        <v>1059.7814146736912</v>
      </c>
    </row>
    <row r="8" spans="1:17" x14ac:dyDescent="0.25">
      <c r="A8" s="1" t="s">
        <v>531</v>
      </c>
      <c r="B8" s="1" t="s">
        <v>532</v>
      </c>
      <c r="C8" s="1">
        <v>5000245054</v>
      </c>
      <c r="D8" s="1">
        <v>849.7</v>
      </c>
      <c r="E8" s="1"/>
      <c r="F8" s="1">
        <v>163.30000000000001</v>
      </c>
      <c r="G8" s="1">
        <v>164.5</v>
      </c>
      <c r="H8" s="1">
        <f t="shared" si="3"/>
        <v>1.1999999999999886</v>
      </c>
      <c r="I8" s="1">
        <f t="shared" si="4"/>
        <v>1019.6399999999904</v>
      </c>
      <c r="J8" s="9">
        <v>20.8</v>
      </c>
      <c r="K8" s="9">
        <v>19.559999999999999</v>
      </c>
      <c r="L8" s="7">
        <f t="shared" si="5"/>
        <v>40.85096153846154</v>
      </c>
      <c r="M8" s="7">
        <f t="shared" si="6"/>
        <v>43.440695296523522</v>
      </c>
      <c r="N8" s="7">
        <f t="shared" si="7"/>
        <v>2.5897337580619819</v>
      </c>
      <c r="O8" s="10">
        <f t="shared" si="8"/>
        <v>8861.0330265848788</v>
      </c>
    </row>
    <row r="9" spans="1:17" x14ac:dyDescent="0.25">
      <c r="A9" s="1" t="s">
        <v>533</v>
      </c>
      <c r="B9" s="1" t="s">
        <v>534</v>
      </c>
      <c r="C9" s="1">
        <v>5000250403</v>
      </c>
      <c r="D9" s="1">
        <v>502</v>
      </c>
      <c r="E9" s="1"/>
      <c r="F9" s="1">
        <v>163.30000000000001</v>
      </c>
      <c r="G9" s="1">
        <v>164.5</v>
      </c>
      <c r="H9" s="1">
        <f t="shared" si="3"/>
        <v>1.1999999999999886</v>
      </c>
      <c r="I9" s="1">
        <f t="shared" si="4"/>
        <v>602.39999999999429</v>
      </c>
      <c r="J9" s="9">
        <v>26</v>
      </c>
      <c r="K9" s="9">
        <v>24.67</v>
      </c>
      <c r="L9" s="7">
        <f t="shared" ref="L9:L14" si="9">D9/J9</f>
        <v>19.307692307692307</v>
      </c>
      <c r="M9" s="7">
        <f t="shared" ref="M9:M14" si="10">D9/K9</f>
        <v>20.348601540332385</v>
      </c>
      <c r="N9" s="7">
        <f t="shared" ref="N9:N14" si="11">M9-L9</f>
        <v>1.0409092326400788</v>
      </c>
      <c r="O9" s="10">
        <f t="shared" ref="O9:O14" si="12">N9*J9*G9</f>
        <v>4451.9687880016172</v>
      </c>
    </row>
    <row r="10" spans="1:17" x14ac:dyDescent="0.25">
      <c r="A10" s="1" t="s">
        <v>529</v>
      </c>
      <c r="B10" s="1" t="s">
        <v>534</v>
      </c>
      <c r="C10" s="1">
        <v>5000248086</v>
      </c>
      <c r="D10" s="1">
        <v>720</v>
      </c>
      <c r="E10" s="1"/>
      <c r="F10" s="1">
        <v>163.30000000000001</v>
      </c>
      <c r="G10" s="1">
        <v>164.5</v>
      </c>
      <c r="H10" s="1">
        <f t="shared" si="3"/>
        <v>1.1999999999999886</v>
      </c>
      <c r="I10" s="1">
        <f t="shared" si="4"/>
        <v>863.99999999999181</v>
      </c>
      <c r="J10" s="9">
        <v>26</v>
      </c>
      <c r="K10" s="9">
        <v>24.67</v>
      </c>
      <c r="L10" s="7">
        <f t="shared" si="9"/>
        <v>27.692307692307693</v>
      </c>
      <c r="M10" s="7">
        <f t="shared" si="10"/>
        <v>29.185245237130115</v>
      </c>
      <c r="N10" s="7">
        <f t="shared" si="11"/>
        <v>1.4929375448224214</v>
      </c>
      <c r="O10" s="10">
        <f t="shared" si="12"/>
        <v>6385.2938792054965</v>
      </c>
    </row>
    <row r="11" spans="1:17" x14ac:dyDescent="0.25">
      <c r="A11" s="1" t="s">
        <v>529</v>
      </c>
      <c r="B11" s="1" t="s">
        <v>534</v>
      </c>
      <c r="C11" s="1">
        <v>5000248086</v>
      </c>
      <c r="D11" s="1">
        <v>23</v>
      </c>
      <c r="E11" s="1"/>
      <c r="F11" s="1">
        <v>163.30000000000001</v>
      </c>
      <c r="G11" s="1">
        <v>164.5</v>
      </c>
      <c r="H11" s="1">
        <f t="shared" si="3"/>
        <v>1.1999999999999886</v>
      </c>
      <c r="I11" s="1">
        <f t="shared" si="4"/>
        <v>27.599999999999739</v>
      </c>
      <c r="J11" s="9">
        <v>26</v>
      </c>
      <c r="K11" s="9">
        <v>24.67</v>
      </c>
      <c r="L11" s="7">
        <f t="shared" si="9"/>
        <v>0.88461538461538458</v>
      </c>
      <c r="M11" s="7">
        <f t="shared" si="10"/>
        <v>0.93230644507498983</v>
      </c>
      <c r="N11" s="7">
        <f t="shared" si="11"/>
        <v>4.769106045960525E-2</v>
      </c>
      <c r="O11" s="10">
        <f t="shared" si="12"/>
        <v>203.97466558573166</v>
      </c>
    </row>
    <row r="12" spans="1:17" x14ac:dyDescent="0.25">
      <c r="A12" s="1" t="s">
        <v>529</v>
      </c>
      <c r="B12" s="1" t="s">
        <v>534</v>
      </c>
      <c r="C12" s="1">
        <v>5000248087</v>
      </c>
      <c r="D12" s="1">
        <v>520.1</v>
      </c>
      <c r="E12" s="1"/>
      <c r="F12" s="1">
        <v>163.30000000000001</v>
      </c>
      <c r="G12" s="1">
        <v>164.5</v>
      </c>
      <c r="H12" s="1">
        <f t="shared" si="3"/>
        <v>1.1999999999999886</v>
      </c>
      <c r="I12" s="1">
        <f t="shared" si="4"/>
        <v>624.11999999999409</v>
      </c>
      <c r="J12" s="9">
        <v>26</v>
      </c>
      <c r="K12" s="9">
        <v>24.67</v>
      </c>
      <c r="L12" s="7">
        <f t="shared" si="9"/>
        <v>20.003846153846155</v>
      </c>
      <c r="M12" s="7">
        <f t="shared" si="10"/>
        <v>21.082286177543576</v>
      </c>
      <c r="N12" s="7">
        <f t="shared" si="11"/>
        <v>1.0784400236974214</v>
      </c>
      <c r="O12" s="10">
        <f t="shared" si="12"/>
        <v>4612.4879813538719</v>
      </c>
    </row>
    <row r="13" spans="1:17" x14ac:dyDescent="0.25">
      <c r="A13" s="1" t="s">
        <v>535</v>
      </c>
      <c r="B13" s="1" t="s">
        <v>534</v>
      </c>
      <c r="C13" s="1">
        <v>5000246823</v>
      </c>
      <c r="D13" s="1">
        <v>510</v>
      </c>
      <c r="E13" s="1"/>
      <c r="F13" s="1">
        <v>163.30000000000001</v>
      </c>
      <c r="G13" s="1">
        <v>164.5</v>
      </c>
      <c r="H13" s="1">
        <f t="shared" si="3"/>
        <v>1.1999999999999886</v>
      </c>
      <c r="I13" s="1">
        <f t="shared" si="4"/>
        <v>611.9999999999942</v>
      </c>
      <c r="J13" s="9">
        <v>26</v>
      </c>
      <c r="K13" s="9">
        <v>24.67</v>
      </c>
      <c r="L13" s="7">
        <f t="shared" si="9"/>
        <v>19.615384615384617</v>
      </c>
      <c r="M13" s="7">
        <f t="shared" si="10"/>
        <v>20.672882042967164</v>
      </c>
      <c r="N13" s="7">
        <f t="shared" si="11"/>
        <v>1.0574974275825468</v>
      </c>
      <c r="O13" s="10">
        <f t="shared" si="12"/>
        <v>4522.9164977705532</v>
      </c>
    </row>
    <row r="14" spans="1:17" x14ac:dyDescent="0.25">
      <c r="A14" s="1" t="s">
        <v>535</v>
      </c>
      <c r="B14" s="1" t="s">
        <v>534</v>
      </c>
      <c r="C14" s="1">
        <v>5000246822</v>
      </c>
      <c r="D14" s="1">
        <v>717.9</v>
      </c>
      <c r="E14" s="1"/>
      <c r="F14" s="1">
        <v>163.30000000000001</v>
      </c>
      <c r="G14" s="1">
        <v>164.5</v>
      </c>
      <c r="H14" s="1">
        <f t="shared" si="3"/>
        <v>1.1999999999999886</v>
      </c>
      <c r="I14" s="1">
        <f t="shared" si="4"/>
        <v>861.47999999999183</v>
      </c>
      <c r="J14" s="9">
        <v>26</v>
      </c>
      <c r="K14" s="9">
        <v>24.67</v>
      </c>
      <c r="L14" s="7">
        <f t="shared" si="9"/>
        <v>27.611538461538462</v>
      </c>
      <c r="M14" s="7">
        <f t="shared" si="10"/>
        <v>29.100121605188484</v>
      </c>
      <c r="N14" s="7">
        <f t="shared" si="11"/>
        <v>1.4885831436500219</v>
      </c>
      <c r="O14" s="10">
        <f t="shared" si="12"/>
        <v>6366.6701053911438</v>
      </c>
    </row>
    <row r="15" spans="1:17" x14ac:dyDescent="0.25">
      <c r="D15">
        <f>SUM(D5:D14)</f>
        <v>5166.7999999999993</v>
      </c>
    </row>
    <row r="16" spans="1:17" x14ac:dyDescent="0.25">
      <c r="H16" s="1" t="s">
        <v>58</v>
      </c>
      <c r="I16" s="1">
        <f>SUM(I5:I14)</f>
        <v>6200.1599999999416</v>
      </c>
      <c r="J16" s="1"/>
      <c r="K16" s="1"/>
      <c r="L16" s="1">
        <f>I16+O16+I32</f>
        <v>128265.83775702657</v>
      </c>
      <c r="M16" s="1"/>
      <c r="N16" s="1"/>
      <c r="O16" s="1">
        <f>SUM(O5:O14)</f>
        <v>47147.077757026629</v>
      </c>
      <c r="Q16" s="20">
        <f>O16+I16+I32+M109+I109+J127+J133+J154+N154+J161+N172</f>
        <v>477484.8250262572</v>
      </c>
    </row>
    <row r="18" spans="1:9" ht="30" x14ac:dyDescent="0.25">
      <c r="A18" s="1" t="s">
        <v>167</v>
      </c>
      <c r="B18" s="1" t="s">
        <v>169</v>
      </c>
      <c r="C18" s="1"/>
      <c r="D18" s="1" t="s">
        <v>22</v>
      </c>
      <c r="E18" s="1"/>
      <c r="F18" s="25" t="s">
        <v>463</v>
      </c>
      <c r="G18" s="4" t="s">
        <v>464</v>
      </c>
      <c r="H18" s="4" t="s">
        <v>52</v>
      </c>
      <c r="I18" s="4" t="s">
        <v>536</v>
      </c>
    </row>
    <row r="19" spans="1:9" x14ac:dyDescent="0.25">
      <c r="A19" s="1"/>
      <c r="B19" s="1"/>
      <c r="C19" s="1"/>
      <c r="D19" s="1"/>
      <c r="E19" s="1"/>
      <c r="F19" s="25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529</v>
      </c>
      <c r="B21" s="1" t="s">
        <v>530</v>
      </c>
      <c r="C21" s="1">
        <v>5000248085</v>
      </c>
      <c r="D21" s="1">
        <v>595.6</v>
      </c>
      <c r="E21" s="1"/>
      <c r="F21" s="1">
        <v>163.30000000000001</v>
      </c>
      <c r="G21" s="4">
        <v>177.8</v>
      </c>
      <c r="H21" s="1">
        <f>G21-F21</f>
        <v>14.5</v>
      </c>
      <c r="I21" s="1">
        <f>H21*D21</f>
        <v>8636.2000000000007</v>
      </c>
    </row>
    <row r="22" spans="1:9" x14ac:dyDescent="0.25">
      <c r="A22" s="1" t="s">
        <v>529</v>
      </c>
      <c r="B22" s="1" t="s">
        <v>530</v>
      </c>
      <c r="C22" s="1">
        <v>5000248086</v>
      </c>
      <c r="D22" s="1">
        <v>609</v>
      </c>
      <c r="E22" s="1"/>
      <c r="F22" s="1">
        <v>163.30000000000001</v>
      </c>
      <c r="G22" s="4">
        <v>177.8</v>
      </c>
      <c r="H22" s="1">
        <f t="shared" ref="H22:H30" si="13">G22-F22</f>
        <v>14.5</v>
      </c>
      <c r="I22" s="1">
        <f t="shared" ref="I22:I30" si="14">H22*D22</f>
        <v>8830.5</v>
      </c>
    </row>
    <row r="23" spans="1:9" x14ac:dyDescent="0.25">
      <c r="A23" s="1" t="s">
        <v>529</v>
      </c>
      <c r="B23" s="1" t="s">
        <v>530</v>
      </c>
      <c r="C23" s="1">
        <v>5000248087</v>
      </c>
      <c r="D23" s="1">
        <v>119.5</v>
      </c>
      <c r="E23" s="1"/>
      <c r="F23" s="1">
        <v>163.30000000000001</v>
      </c>
      <c r="G23" s="4">
        <v>177.8</v>
      </c>
      <c r="H23" s="1">
        <f t="shared" si="13"/>
        <v>14.5</v>
      </c>
      <c r="I23" s="1">
        <f t="shared" si="14"/>
        <v>1732.75</v>
      </c>
    </row>
    <row r="24" spans="1:9" x14ac:dyDescent="0.25">
      <c r="A24" s="1" t="s">
        <v>531</v>
      </c>
      <c r="B24" s="1" t="s">
        <v>532</v>
      </c>
      <c r="C24" s="1">
        <v>5000245054</v>
      </c>
      <c r="D24" s="1">
        <v>849.7</v>
      </c>
      <c r="E24" s="1"/>
      <c r="F24" s="1">
        <v>163.30000000000001</v>
      </c>
      <c r="G24" s="4">
        <v>177.8</v>
      </c>
      <c r="H24" s="1">
        <f t="shared" si="13"/>
        <v>14.5</v>
      </c>
      <c r="I24" s="1">
        <f t="shared" si="14"/>
        <v>12320.650000000001</v>
      </c>
    </row>
    <row r="25" spans="1:9" x14ac:dyDescent="0.25">
      <c r="A25" s="1" t="s">
        <v>533</v>
      </c>
      <c r="B25" s="1" t="s">
        <v>534</v>
      </c>
      <c r="C25" s="1">
        <v>5000250403</v>
      </c>
      <c r="D25" s="1">
        <v>502</v>
      </c>
      <c r="E25" s="1"/>
      <c r="F25" s="1">
        <v>163.30000000000001</v>
      </c>
      <c r="G25" s="4">
        <v>177.8</v>
      </c>
      <c r="H25" s="1">
        <f t="shared" si="13"/>
        <v>14.5</v>
      </c>
      <c r="I25" s="1">
        <f t="shared" si="14"/>
        <v>7279</v>
      </c>
    </row>
    <row r="26" spans="1:9" x14ac:dyDescent="0.25">
      <c r="A26" s="1" t="s">
        <v>529</v>
      </c>
      <c r="B26" s="1" t="s">
        <v>534</v>
      </c>
      <c r="C26" s="1">
        <v>5000248086</v>
      </c>
      <c r="D26" s="1">
        <v>720</v>
      </c>
      <c r="E26" s="1"/>
      <c r="F26" s="1">
        <v>163.30000000000001</v>
      </c>
      <c r="G26" s="4">
        <v>177.8</v>
      </c>
      <c r="H26" s="1">
        <f t="shared" si="13"/>
        <v>14.5</v>
      </c>
      <c r="I26" s="1">
        <f t="shared" si="14"/>
        <v>10440</v>
      </c>
    </row>
    <row r="27" spans="1:9" x14ac:dyDescent="0.25">
      <c r="A27" s="1" t="s">
        <v>529</v>
      </c>
      <c r="B27" s="1" t="s">
        <v>534</v>
      </c>
      <c r="C27" s="1">
        <v>5000248086</v>
      </c>
      <c r="D27" s="1">
        <v>23</v>
      </c>
      <c r="E27" s="1"/>
      <c r="F27" s="1">
        <v>163.30000000000001</v>
      </c>
      <c r="G27" s="4">
        <v>177.8</v>
      </c>
      <c r="H27" s="1">
        <f t="shared" si="13"/>
        <v>14.5</v>
      </c>
      <c r="I27" s="1">
        <f t="shared" si="14"/>
        <v>333.5</v>
      </c>
    </row>
    <row r="28" spans="1:9" x14ac:dyDescent="0.25">
      <c r="A28" s="1" t="s">
        <v>529</v>
      </c>
      <c r="B28" s="1" t="s">
        <v>534</v>
      </c>
      <c r="C28" s="1">
        <v>5000248087</v>
      </c>
      <c r="D28" s="1">
        <v>520.1</v>
      </c>
      <c r="E28" s="1"/>
      <c r="F28" s="1">
        <v>163.30000000000001</v>
      </c>
      <c r="G28" s="4">
        <v>177.8</v>
      </c>
      <c r="H28" s="1">
        <f t="shared" si="13"/>
        <v>14.5</v>
      </c>
      <c r="I28" s="1">
        <f t="shared" si="14"/>
        <v>7541.4500000000007</v>
      </c>
    </row>
    <row r="29" spans="1:9" x14ac:dyDescent="0.25">
      <c r="A29" s="1" t="s">
        <v>535</v>
      </c>
      <c r="B29" s="1" t="s">
        <v>534</v>
      </c>
      <c r="C29" s="1">
        <v>5000246823</v>
      </c>
      <c r="D29" s="1">
        <v>510</v>
      </c>
      <c r="E29" s="1"/>
      <c r="F29" s="1">
        <v>163.30000000000001</v>
      </c>
      <c r="G29" s="4">
        <v>177.8</v>
      </c>
      <c r="H29" s="1">
        <f t="shared" si="13"/>
        <v>14.5</v>
      </c>
      <c r="I29" s="1">
        <f t="shared" si="14"/>
        <v>7395</v>
      </c>
    </row>
    <row r="30" spans="1:9" x14ac:dyDescent="0.25">
      <c r="A30" s="1" t="s">
        <v>535</v>
      </c>
      <c r="B30" s="1" t="s">
        <v>534</v>
      </c>
      <c r="C30" s="1">
        <v>5000246822</v>
      </c>
      <c r="D30" s="1">
        <v>717.9</v>
      </c>
      <c r="E30" s="1"/>
      <c r="F30" s="1">
        <v>163.30000000000001</v>
      </c>
      <c r="G30" s="4">
        <v>177.8</v>
      </c>
      <c r="H30" s="1">
        <f t="shared" si="13"/>
        <v>14.5</v>
      </c>
      <c r="I30" s="1">
        <f t="shared" si="14"/>
        <v>10409.549999999999</v>
      </c>
    </row>
    <row r="32" spans="1:9" x14ac:dyDescent="0.25">
      <c r="D32">
        <f>SUM(D21:D30)</f>
        <v>5166.7999999999993</v>
      </c>
      <c r="H32" t="s">
        <v>58</v>
      </c>
      <c r="I32">
        <f>SUM(I21:I30)</f>
        <v>74918.600000000006</v>
      </c>
    </row>
    <row r="34" spans="1:13" x14ac:dyDescent="0.25">
      <c r="A34" s="1" t="s">
        <v>167</v>
      </c>
      <c r="B34" s="1" t="s">
        <v>169</v>
      </c>
      <c r="C34" s="1"/>
      <c r="D34" s="1" t="s">
        <v>22</v>
      </c>
      <c r="E34" s="1" t="s">
        <v>567</v>
      </c>
      <c r="F34" s="1" t="s">
        <v>50</v>
      </c>
      <c r="G34" s="1" t="s">
        <v>466</v>
      </c>
      <c r="H34" s="1" t="s">
        <v>52</v>
      </c>
      <c r="I34" s="1" t="s">
        <v>21</v>
      </c>
      <c r="J34" s="4" t="s">
        <v>506</v>
      </c>
      <c r="K34" s="4" t="s">
        <v>507</v>
      </c>
      <c r="L34" s="1" t="s">
        <v>505</v>
      </c>
      <c r="M34" s="1" t="s">
        <v>504</v>
      </c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 t="s">
        <v>529</v>
      </c>
      <c r="B36" s="1" t="s">
        <v>538</v>
      </c>
      <c r="C36" s="1">
        <v>5000248245</v>
      </c>
      <c r="D36" s="2">
        <v>13000</v>
      </c>
      <c r="E36" s="2"/>
      <c r="F36" s="125">
        <v>55.9</v>
      </c>
      <c r="G36" s="125">
        <v>58.75</v>
      </c>
      <c r="H36" s="3">
        <f t="shared" ref="H36:H46" si="15">G36-F36</f>
        <v>2.8500000000000014</v>
      </c>
      <c r="I36" s="3">
        <f t="shared" ref="I36" si="16">H36*D36/130</f>
        <v>285.00000000000017</v>
      </c>
      <c r="J36" s="2"/>
      <c r="K36" s="3"/>
      <c r="L36" s="1"/>
      <c r="M36" s="1"/>
    </row>
    <row r="37" spans="1:13" x14ac:dyDescent="0.25">
      <c r="A37" s="1" t="s">
        <v>537</v>
      </c>
      <c r="B37" s="1" t="s">
        <v>80</v>
      </c>
      <c r="C37" s="1">
        <v>5000246104</v>
      </c>
      <c r="D37" s="2">
        <v>13910</v>
      </c>
      <c r="E37" s="2"/>
      <c r="F37" s="3">
        <v>41.3</v>
      </c>
      <c r="G37" s="3">
        <v>43.38</v>
      </c>
      <c r="H37" s="3">
        <f t="shared" si="15"/>
        <v>2.0800000000000054</v>
      </c>
      <c r="I37" s="3">
        <f t="shared" ref="I37:I45" si="17">H37*D37/130</f>
        <v>222.56000000000057</v>
      </c>
      <c r="J37" s="2"/>
      <c r="K37" s="3"/>
      <c r="L37" s="1"/>
      <c r="M37" s="1"/>
    </row>
    <row r="38" spans="1:13" x14ac:dyDescent="0.25">
      <c r="A38" s="1" t="s">
        <v>537</v>
      </c>
      <c r="B38" s="1" t="s">
        <v>80</v>
      </c>
      <c r="C38" s="1">
        <v>5000246104</v>
      </c>
      <c r="D38" s="2">
        <v>1560</v>
      </c>
      <c r="E38" s="2"/>
      <c r="F38" s="3">
        <v>41.3</v>
      </c>
      <c r="G38" s="3">
        <v>43.38</v>
      </c>
      <c r="H38" s="3">
        <f t="shared" si="15"/>
        <v>2.0800000000000054</v>
      </c>
      <c r="I38" s="3">
        <f t="shared" si="17"/>
        <v>24.960000000000065</v>
      </c>
      <c r="J38" s="2"/>
      <c r="K38" s="1"/>
      <c r="L38" s="1"/>
      <c r="M38" s="1"/>
    </row>
    <row r="39" spans="1:13" x14ac:dyDescent="0.25">
      <c r="A39" s="1" t="s">
        <v>537</v>
      </c>
      <c r="B39" s="1" t="s">
        <v>80</v>
      </c>
      <c r="C39" s="1">
        <v>5000246104</v>
      </c>
      <c r="D39" s="2">
        <v>18460</v>
      </c>
      <c r="E39" s="2"/>
      <c r="F39" s="3">
        <v>41.3</v>
      </c>
      <c r="G39" s="3">
        <v>43.38</v>
      </c>
      <c r="H39" s="3">
        <f t="shared" si="15"/>
        <v>2.0800000000000054</v>
      </c>
      <c r="I39" s="3">
        <f t="shared" si="17"/>
        <v>295.36000000000075</v>
      </c>
      <c r="J39" s="2"/>
      <c r="K39" s="3"/>
      <c r="L39" s="1"/>
      <c r="M39" s="1"/>
    </row>
    <row r="40" spans="1:13" x14ac:dyDescent="0.25">
      <c r="A40" s="1" t="s">
        <v>529</v>
      </c>
      <c r="B40" s="1" t="s">
        <v>81</v>
      </c>
      <c r="C40" s="1">
        <v>5000248246</v>
      </c>
      <c r="D40" s="1">
        <v>980</v>
      </c>
      <c r="E40" s="1"/>
      <c r="F40" s="3">
        <v>41.3</v>
      </c>
      <c r="G40" s="3">
        <v>43.38</v>
      </c>
      <c r="H40" s="3">
        <f t="shared" si="15"/>
        <v>2.0800000000000054</v>
      </c>
      <c r="I40" s="3">
        <f t="shared" si="17"/>
        <v>15.680000000000041</v>
      </c>
      <c r="J40" s="1"/>
      <c r="K40" s="1"/>
      <c r="L40" s="1"/>
      <c r="M40" s="1"/>
    </row>
    <row r="41" spans="1:13" x14ac:dyDescent="0.25">
      <c r="A41" s="1" t="s">
        <v>529</v>
      </c>
      <c r="B41" s="1" t="s">
        <v>81</v>
      </c>
      <c r="C41" s="1">
        <v>5000248246</v>
      </c>
      <c r="D41" s="2">
        <v>11500</v>
      </c>
      <c r="E41" s="2"/>
      <c r="F41" s="3">
        <v>41.3</v>
      </c>
      <c r="G41" s="3">
        <v>43.38</v>
      </c>
      <c r="H41" s="3">
        <f t="shared" si="15"/>
        <v>2.0800000000000054</v>
      </c>
      <c r="I41" s="3">
        <f t="shared" si="17"/>
        <v>184.00000000000048</v>
      </c>
      <c r="J41" s="2"/>
      <c r="K41" s="3"/>
      <c r="L41" s="1"/>
      <c r="M41" s="1"/>
    </row>
    <row r="42" spans="1:13" x14ac:dyDescent="0.25">
      <c r="A42" s="1" t="s">
        <v>529</v>
      </c>
      <c r="B42" s="1" t="s">
        <v>81</v>
      </c>
      <c r="C42" s="1">
        <v>5000248246</v>
      </c>
      <c r="D42" s="2">
        <v>13000</v>
      </c>
      <c r="E42" s="2"/>
      <c r="F42" s="3">
        <v>41.3</v>
      </c>
      <c r="G42" s="3">
        <v>43.38</v>
      </c>
      <c r="H42" s="3">
        <f t="shared" si="15"/>
        <v>2.0800000000000054</v>
      </c>
      <c r="I42" s="3">
        <f t="shared" si="17"/>
        <v>208.00000000000054</v>
      </c>
      <c r="J42" s="2"/>
      <c r="K42" s="3"/>
      <c r="L42" s="1"/>
      <c r="M42" s="1"/>
    </row>
    <row r="43" spans="1:13" x14ac:dyDescent="0.25">
      <c r="A43" s="1" t="s">
        <v>529</v>
      </c>
      <c r="B43" s="1" t="s">
        <v>81</v>
      </c>
      <c r="C43" s="1">
        <v>5000248246</v>
      </c>
      <c r="D43" s="1">
        <v>520</v>
      </c>
      <c r="E43" s="1"/>
      <c r="F43" s="3">
        <v>41.3</v>
      </c>
      <c r="G43" s="3">
        <v>43.38</v>
      </c>
      <c r="H43" s="3">
        <f t="shared" si="15"/>
        <v>2.0800000000000054</v>
      </c>
      <c r="I43" s="3">
        <f t="shared" si="17"/>
        <v>8.3200000000000216</v>
      </c>
      <c r="J43" s="1"/>
      <c r="K43" s="1"/>
      <c r="L43" s="1"/>
      <c r="M43" s="1"/>
    </row>
    <row r="44" spans="1:13" x14ac:dyDescent="0.25">
      <c r="A44" s="1" t="s">
        <v>539</v>
      </c>
      <c r="B44" s="1" t="s">
        <v>81</v>
      </c>
      <c r="C44" s="1">
        <v>5000247522</v>
      </c>
      <c r="D44" s="2">
        <v>12480</v>
      </c>
      <c r="E44" s="2"/>
      <c r="F44" s="3">
        <v>41.3</v>
      </c>
      <c r="G44" s="3">
        <v>43.38</v>
      </c>
      <c r="H44" s="3">
        <f t="shared" si="15"/>
        <v>2.0800000000000054</v>
      </c>
      <c r="I44" s="3">
        <f t="shared" si="17"/>
        <v>199.68000000000052</v>
      </c>
      <c r="J44" s="2"/>
      <c r="K44" s="3"/>
      <c r="L44" s="1"/>
      <c r="M44" s="1"/>
    </row>
    <row r="45" spans="1:13" x14ac:dyDescent="0.25">
      <c r="A45" s="1" t="s">
        <v>535</v>
      </c>
      <c r="B45" s="1" t="s">
        <v>81</v>
      </c>
      <c r="C45" s="1">
        <v>5000246847</v>
      </c>
      <c r="D45" s="2">
        <v>24960</v>
      </c>
      <c r="E45" s="2"/>
      <c r="F45" s="3">
        <v>41.3</v>
      </c>
      <c r="G45" s="3">
        <v>43.38</v>
      </c>
      <c r="H45" s="3">
        <f t="shared" si="15"/>
        <v>2.0800000000000054</v>
      </c>
      <c r="I45" s="3">
        <f t="shared" si="17"/>
        <v>399.36000000000104</v>
      </c>
      <c r="J45" s="2"/>
      <c r="K45" s="3"/>
      <c r="L45" s="1"/>
      <c r="M45" s="1"/>
    </row>
    <row r="46" spans="1:13" x14ac:dyDescent="0.25">
      <c r="A46" s="1" t="s">
        <v>540</v>
      </c>
      <c r="B46" s="1" t="s">
        <v>112</v>
      </c>
      <c r="C46" s="1">
        <v>5000249044</v>
      </c>
      <c r="D46" s="2">
        <v>14950</v>
      </c>
      <c r="E46" s="2">
        <v>14950</v>
      </c>
      <c r="F46" s="3">
        <v>134.5</v>
      </c>
      <c r="G46" s="3">
        <v>139.41999999999999</v>
      </c>
      <c r="H46" s="3">
        <f t="shared" si="15"/>
        <v>4.9199999999999875</v>
      </c>
      <c r="I46" s="3">
        <f t="shared" ref="I46" si="18">H46*D46/325</f>
        <v>226.31999999999942</v>
      </c>
      <c r="J46" s="3">
        <v>266</v>
      </c>
      <c r="K46" s="1">
        <f t="shared" ref="K46" si="19">F46*2</f>
        <v>269</v>
      </c>
      <c r="L46" s="3">
        <f t="shared" ref="L46" si="20">K46-J46</f>
        <v>3</v>
      </c>
      <c r="M46" s="10">
        <f t="shared" ref="M46" si="21">L46/650*D46</f>
        <v>69</v>
      </c>
    </row>
    <row r="47" spans="1:13" x14ac:dyDescent="0.25">
      <c r="A47" s="1" t="s">
        <v>535</v>
      </c>
      <c r="B47" s="1" t="s">
        <v>112</v>
      </c>
      <c r="C47" s="1">
        <v>5000246847</v>
      </c>
      <c r="D47" s="2">
        <v>14300</v>
      </c>
      <c r="E47" s="2">
        <v>14950</v>
      </c>
      <c r="F47" s="3">
        <v>134.5</v>
      </c>
      <c r="G47" s="3">
        <v>139.41999999999999</v>
      </c>
      <c r="H47" s="3">
        <f t="shared" ref="H47:H48" si="22">G47-F47</f>
        <v>4.9199999999999875</v>
      </c>
      <c r="I47" s="3">
        <f t="shared" ref="I47:I48" si="23">H47*D47/325</f>
        <v>216.47999999999945</v>
      </c>
      <c r="J47" s="3">
        <v>266</v>
      </c>
      <c r="K47" s="1">
        <f t="shared" ref="K47:K48" si="24">F47*2</f>
        <v>269</v>
      </c>
      <c r="L47" s="3">
        <f t="shared" ref="L47:L48" si="25">K47-J47</f>
        <v>3</v>
      </c>
      <c r="M47" s="10">
        <f t="shared" ref="M47:M48" si="26">L47/650*D47</f>
        <v>66</v>
      </c>
    </row>
    <row r="48" spans="1:13" x14ac:dyDescent="0.25">
      <c r="A48" s="1" t="s">
        <v>535</v>
      </c>
      <c r="B48" s="1" t="s">
        <v>112</v>
      </c>
      <c r="C48" s="1">
        <v>5000246847</v>
      </c>
      <c r="D48" s="2">
        <v>74100</v>
      </c>
      <c r="E48" s="2">
        <v>14950</v>
      </c>
      <c r="F48" s="3">
        <v>134.5</v>
      </c>
      <c r="G48" s="3">
        <v>139.41999999999999</v>
      </c>
      <c r="H48" s="3">
        <f t="shared" si="22"/>
        <v>4.9199999999999875</v>
      </c>
      <c r="I48" s="3">
        <f t="shared" si="23"/>
        <v>1121.759999999997</v>
      </c>
      <c r="J48" s="3">
        <v>266</v>
      </c>
      <c r="K48" s="1">
        <f t="shared" si="24"/>
        <v>269</v>
      </c>
      <c r="L48" s="3">
        <f t="shared" si="25"/>
        <v>3</v>
      </c>
      <c r="M48" s="10">
        <f t="shared" si="26"/>
        <v>342.00000000000006</v>
      </c>
    </row>
    <row r="49" spans="1:13" x14ac:dyDescent="0.25">
      <c r="A49" s="1" t="s">
        <v>529</v>
      </c>
      <c r="B49" s="1" t="s">
        <v>82</v>
      </c>
      <c r="C49" s="1">
        <v>5000248245</v>
      </c>
      <c r="D49" s="2">
        <v>19400</v>
      </c>
      <c r="E49" s="2"/>
      <c r="F49" s="3">
        <v>41.3</v>
      </c>
      <c r="G49" s="3">
        <v>43.38</v>
      </c>
      <c r="H49" s="3">
        <f t="shared" ref="H49:H54" si="27">G49-F49</f>
        <v>2.0800000000000054</v>
      </c>
      <c r="I49" s="3">
        <f t="shared" ref="I49:I53" si="28">H49*D49/130</f>
        <v>310.40000000000077</v>
      </c>
      <c r="J49" s="3"/>
      <c r="K49" s="1"/>
      <c r="L49" s="3"/>
      <c r="M49" s="10"/>
    </row>
    <row r="50" spans="1:13" x14ac:dyDescent="0.25">
      <c r="A50" s="1" t="s">
        <v>529</v>
      </c>
      <c r="B50" s="1" t="s">
        <v>82</v>
      </c>
      <c r="C50" s="1">
        <v>5000248245</v>
      </c>
      <c r="D50" s="2">
        <v>1400</v>
      </c>
      <c r="E50" s="2"/>
      <c r="F50" s="3">
        <v>41.3</v>
      </c>
      <c r="G50" s="3">
        <v>43.38</v>
      </c>
      <c r="H50" s="3">
        <f t="shared" si="27"/>
        <v>2.0800000000000054</v>
      </c>
      <c r="I50" s="3">
        <f t="shared" si="28"/>
        <v>22.400000000000059</v>
      </c>
      <c r="J50" s="3"/>
      <c r="K50" s="1"/>
      <c r="L50" s="3"/>
      <c r="M50" s="10"/>
    </row>
    <row r="51" spans="1:13" x14ac:dyDescent="0.25">
      <c r="A51" s="1" t="s">
        <v>529</v>
      </c>
      <c r="B51" s="1" t="s">
        <v>480</v>
      </c>
      <c r="C51" s="1">
        <v>5000248246</v>
      </c>
      <c r="D51" s="2">
        <v>17745</v>
      </c>
      <c r="E51" s="2"/>
      <c r="F51" s="125">
        <v>36.5</v>
      </c>
      <c r="G51" s="125">
        <v>37.299999999999997</v>
      </c>
      <c r="H51" s="3">
        <f t="shared" si="27"/>
        <v>0.79999999999999716</v>
      </c>
      <c r="I51" s="3">
        <f t="shared" si="28"/>
        <v>109.1999999999996</v>
      </c>
      <c r="J51" s="2"/>
      <c r="K51" s="3"/>
      <c r="L51" s="1"/>
      <c r="M51" s="1"/>
    </row>
    <row r="52" spans="1:13" x14ac:dyDescent="0.25">
      <c r="A52" s="1" t="s">
        <v>529</v>
      </c>
      <c r="B52" s="1" t="s">
        <v>480</v>
      </c>
      <c r="C52" s="1">
        <v>5000248246</v>
      </c>
      <c r="D52" s="2">
        <v>32760</v>
      </c>
      <c r="E52" s="2"/>
      <c r="F52" s="125">
        <v>36.5</v>
      </c>
      <c r="G52" s="125">
        <v>37.299999999999997</v>
      </c>
      <c r="H52" s="3">
        <f t="shared" si="27"/>
        <v>0.79999999999999716</v>
      </c>
      <c r="I52" s="3">
        <f t="shared" si="28"/>
        <v>201.59999999999928</v>
      </c>
      <c r="J52" s="2"/>
      <c r="K52" s="3"/>
      <c r="L52" s="1"/>
      <c r="M52" s="1"/>
    </row>
    <row r="53" spans="1:13" x14ac:dyDescent="0.25">
      <c r="A53" s="1" t="s">
        <v>529</v>
      </c>
      <c r="B53" s="1" t="s">
        <v>480</v>
      </c>
      <c r="C53" s="1">
        <v>5000248246</v>
      </c>
      <c r="D53" s="2">
        <v>114985</v>
      </c>
      <c r="E53" s="2"/>
      <c r="F53" s="125">
        <v>36.5</v>
      </c>
      <c r="G53" s="125">
        <v>37.299999999999997</v>
      </c>
      <c r="H53" s="3">
        <f t="shared" si="27"/>
        <v>0.79999999999999716</v>
      </c>
      <c r="I53" s="3">
        <f t="shared" si="28"/>
        <v>707.59999999999752</v>
      </c>
      <c r="J53" s="2"/>
      <c r="K53" s="3"/>
      <c r="L53" s="1"/>
      <c r="M53" s="1"/>
    </row>
    <row r="54" spans="1:13" x14ac:dyDescent="0.25">
      <c r="A54" s="1" t="s">
        <v>540</v>
      </c>
      <c r="B54" s="1" t="s">
        <v>471</v>
      </c>
      <c r="C54" s="1">
        <v>5000249044</v>
      </c>
      <c r="D54" s="2">
        <v>64350</v>
      </c>
      <c r="E54" s="2">
        <f>D54</f>
        <v>64350</v>
      </c>
      <c r="F54" s="1">
        <v>161.4</v>
      </c>
      <c r="G54" s="40">
        <v>167.54</v>
      </c>
      <c r="H54" s="3">
        <f t="shared" si="27"/>
        <v>6.1399999999999864</v>
      </c>
      <c r="I54" s="1">
        <f>H54*D54/325</f>
        <v>1215.7199999999973</v>
      </c>
      <c r="J54" s="3">
        <v>319</v>
      </c>
      <c r="K54" s="1">
        <f t="shared" ref="K54" si="29">F54*2</f>
        <v>322.8</v>
      </c>
      <c r="L54" s="3">
        <f t="shared" ref="L54" si="30">K54-J54</f>
        <v>3.8000000000000114</v>
      </c>
      <c r="M54" s="1">
        <f t="shared" ref="M54" si="31">L54/650*D54</f>
        <v>376.20000000000113</v>
      </c>
    </row>
    <row r="55" spans="1:13" x14ac:dyDescent="0.25">
      <c r="A55" s="1" t="s">
        <v>529</v>
      </c>
      <c r="B55" s="1" t="s">
        <v>471</v>
      </c>
      <c r="C55" s="1">
        <v>5000248246</v>
      </c>
      <c r="D55" s="2">
        <v>234000</v>
      </c>
      <c r="E55" s="2">
        <f t="shared" ref="E55:E71" si="32">D55</f>
        <v>234000</v>
      </c>
      <c r="F55" s="1">
        <v>161.4</v>
      </c>
      <c r="G55" s="40">
        <v>167.54</v>
      </c>
      <c r="H55" s="3">
        <f t="shared" ref="H55:H60" si="33">G55-F55</f>
        <v>6.1399999999999864</v>
      </c>
      <c r="I55" s="1">
        <f t="shared" ref="I55:I57" si="34">H55*D55/325</f>
        <v>4420.7999999999902</v>
      </c>
      <c r="J55" s="3">
        <v>319</v>
      </c>
      <c r="K55" s="1">
        <f t="shared" ref="K55:K58" si="35">F55*2</f>
        <v>322.8</v>
      </c>
      <c r="L55" s="3">
        <f t="shared" ref="L55:L58" si="36">K55-J55</f>
        <v>3.8000000000000114</v>
      </c>
      <c r="M55" s="1">
        <f t="shared" ref="M55:M71" si="37">L55/650*D55</f>
        <v>1368.0000000000041</v>
      </c>
    </row>
    <row r="56" spans="1:13" x14ac:dyDescent="0.25">
      <c r="A56" s="1" t="s">
        <v>535</v>
      </c>
      <c r="B56" s="1" t="s">
        <v>471</v>
      </c>
      <c r="C56" s="1">
        <v>5000246755</v>
      </c>
      <c r="D56" s="2">
        <v>208000</v>
      </c>
      <c r="E56" s="2">
        <f t="shared" si="32"/>
        <v>208000</v>
      </c>
      <c r="F56" s="1">
        <v>161.4</v>
      </c>
      <c r="G56" s="40">
        <v>167.54</v>
      </c>
      <c r="H56" s="3">
        <f t="shared" si="33"/>
        <v>6.1399999999999864</v>
      </c>
      <c r="I56" s="1">
        <f t="shared" si="34"/>
        <v>3929.5999999999913</v>
      </c>
      <c r="J56" s="3">
        <v>319</v>
      </c>
      <c r="K56" s="1">
        <f t="shared" si="35"/>
        <v>322.8</v>
      </c>
      <c r="L56" s="3">
        <f t="shared" si="36"/>
        <v>3.8000000000000114</v>
      </c>
      <c r="M56" s="1">
        <f t="shared" si="37"/>
        <v>1216.0000000000036</v>
      </c>
    </row>
    <row r="57" spans="1:13" x14ac:dyDescent="0.25">
      <c r="A57" s="1" t="s">
        <v>535</v>
      </c>
      <c r="B57" s="1" t="s">
        <v>471</v>
      </c>
      <c r="C57" s="1">
        <v>5000246847</v>
      </c>
      <c r="D57" s="2">
        <v>39000</v>
      </c>
      <c r="E57" s="2">
        <f t="shared" si="32"/>
        <v>39000</v>
      </c>
      <c r="F57" s="1">
        <v>161.4</v>
      </c>
      <c r="G57" s="40">
        <v>167.54</v>
      </c>
      <c r="H57" s="3">
        <f t="shared" si="33"/>
        <v>6.1399999999999864</v>
      </c>
      <c r="I57" s="1">
        <f t="shared" si="34"/>
        <v>736.79999999999836</v>
      </c>
      <c r="J57" s="3">
        <v>319</v>
      </c>
      <c r="K57" s="1">
        <f t="shared" si="35"/>
        <v>322.8</v>
      </c>
      <c r="L57" s="3">
        <f t="shared" si="36"/>
        <v>3.8000000000000114</v>
      </c>
      <c r="M57" s="1">
        <f t="shared" si="37"/>
        <v>228.00000000000068</v>
      </c>
    </row>
    <row r="58" spans="1:13" x14ac:dyDescent="0.25">
      <c r="A58" s="1" t="s">
        <v>541</v>
      </c>
      <c r="B58" s="1" t="s">
        <v>471</v>
      </c>
      <c r="C58" s="1">
        <v>5000244902</v>
      </c>
      <c r="D58" s="1">
        <v>320</v>
      </c>
      <c r="E58" s="2">
        <f t="shared" si="32"/>
        <v>320</v>
      </c>
      <c r="F58" s="1">
        <v>161.4</v>
      </c>
      <c r="G58" s="40">
        <v>167.54</v>
      </c>
      <c r="H58" s="3">
        <f t="shared" si="33"/>
        <v>6.1399999999999864</v>
      </c>
      <c r="I58" s="1">
        <f t="shared" ref="I58" si="38">H58*D58</f>
        <v>1964.7999999999956</v>
      </c>
      <c r="J58" s="3">
        <v>319</v>
      </c>
      <c r="K58" s="1">
        <f t="shared" si="35"/>
        <v>322.8</v>
      </c>
      <c r="L58" s="3">
        <f t="shared" si="36"/>
        <v>3.8000000000000114</v>
      </c>
      <c r="M58" s="1">
        <f t="shared" si="37"/>
        <v>1.8707692307692363</v>
      </c>
    </row>
    <row r="59" spans="1:13" x14ac:dyDescent="0.25">
      <c r="A59" s="1" t="s">
        <v>529</v>
      </c>
      <c r="B59" s="1" t="s">
        <v>193</v>
      </c>
      <c r="C59" s="1">
        <v>5000248245</v>
      </c>
      <c r="D59" s="2">
        <v>13000</v>
      </c>
      <c r="E59" s="2"/>
      <c r="F59" s="3">
        <v>41.3</v>
      </c>
      <c r="G59" s="3">
        <v>43.38</v>
      </c>
      <c r="H59" s="3">
        <f t="shared" si="33"/>
        <v>2.0800000000000054</v>
      </c>
      <c r="I59" s="3">
        <f t="shared" ref="I59" si="39">H59*D59/130</f>
        <v>208.00000000000054</v>
      </c>
      <c r="J59" s="2"/>
      <c r="K59" s="3"/>
      <c r="L59" s="125"/>
      <c r="M59" s="4"/>
    </row>
    <row r="60" spans="1:13" x14ac:dyDescent="0.25">
      <c r="A60" s="1" t="s">
        <v>540</v>
      </c>
      <c r="B60" s="1" t="s">
        <v>84</v>
      </c>
      <c r="C60" s="1">
        <v>5000249044</v>
      </c>
      <c r="D60" s="2">
        <v>15000</v>
      </c>
      <c r="E60" s="2">
        <f t="shared" si="32"/>
        <v>15000</v>
      </c>
      <c r="F60" s="3">
        <v>134.5</v>
      </c>
      <c r="G60" s="3">
        <v>139.41999999999999</v>
      </c>
      <c r="H60" s="3">
        <f t="shared" si="33"/>
        <v>4.9199999999999875</v>
      </c>
      <c r="I60" s="3">
        <f t="shared" ref="I60" si="40">H60*D60/325</f>
        <v>227.0769230769225</v>
      </c>
      <c r="J60" s="3">
        <v>266</v>
      </c>
      <c r="K60" s="1">
        <f t="shared" ref="K60:K70" si="41">F60*2</f>
        <v>269</v>
      </c>
      <c r="L60" s="3">
        <f t="shared" ref="L60:L71" si="42">K60-J60</f>
        <v>3</v>
      </c>
      <c r="M60" s="10">
        <f t="shared" si="37"/>
        <v>69.230769230769241</v>
      </c>
    </row>
    <row r="61" spans="1:13" x14ac:dyDescent="0.25">
      <c r="A61" s="1" t="s">
        <v>540</v>
      </c>
      <c r="B61" s="1" t="s">
        <v>84</v>
      </c>
      <c r="C61" s="1">
        <v>5000249044</v>
      </c>
      <c r="D61" s="2">
        <v>13400</v>
      </c>
      <c r="E61" s="2">
        <f t="shared" si="32"/>
        <v>13400</v>
      </c>
      <c r="F61" s="3">
        <v>134.5</v>
      </c>
      <c r="G61" s="3">
        <v>139.41999999999999</v>
      </c>
      <c r="H61" s="3">
        <f t="shared" ref="H61:H71" si="43">G61-F61</f>
        <v>4.9199999999999875</v>
      </c>
      <c r="I61" s="3">
        <f t="shared" ref="I61:I71" si="44">H61*D61/325</f>
        <v>202.85538461538408</v>
      </c>
      <c r="J61" s="3">
        <v>266</v>
      </c>
      <c r="K61" s="1">
        <f t="shared" si="41"/>
        <v>269</v>
      </c>
      <c r="L61" s="3">
        <f t="shared" si="42"/>
        <v>3</v>
      </c>
      <c r="M61" s="10">
        <f t="shared" si="37"/>
        <v>61.846153846153854</v>
      </c>
    </row>
    <row r="62" spans="1:13" x14ac:dyDescent="0.25">
      <c r="A62" s="1" t="s">
        <v>540</v>
      </c>
      <c r="B62" s="1" t="s">
        <v>84</v>
      </c>
      <c r="C62" s="1">
        <v>5000249044</v>
      </c>
      <c r="D62" s="2">
        <v>190000</v>
      </c>
      <c r="E62" s="2">
        <f t="shared" si="32"/>
        <v>190000</v>
      </c>
      <c r="F62" s="3">
        <v>134.5</v>
      </c>
      <c r="G62" s="3">
        <v>139.41999999999999</v>
      </c>
      <c r="H62" s="3">
        <f t="shared" si="43"/>
        <v>4.9199999999999875</v>
      </c>
      <c r="I62" s="3">
        <f t="shared" si="44"/>
        <v>2876.3076923076851</v>
      </c>
      <c r="J62" s="3">
        <v>266</v>
      </c>
      <c r="K62" s="1">
        <f t="shared" si="41"/>
        <v>269</v>
      </c>
      <c r="L62" s="3">
        <f t="shared" si="42"/>
        <v>3</v>
      </c>
      <c r="M62" s="10">
        <f t="shared" si="37"/>
        <v>876.92307692307702</v>
      </c>
    </row>
    <row r="63" spans="1:13" x14ac:dyDescent="0.25">
      <c r="A63" s="1" t="s">
        <v>539</v>
      </c>
      <c r="B63" s="1" t="s">
        <v>84</v>
      </c>
      <c r="C63" s="1">
        <v>5000247522</v>
      </c>
      <c r="D63" s="2">
        <v>78000</v>
      </c>
      <c r="E63" s="2">
        <f t="shared" si="32"/>
        <v>78000</v>
      </c>
      <c r="F63" s="3">
        <v>134.5</v>
      </c>
      <c r="G63" s="3">
        <v>139.41999999999999</v>
      </c>
      <c r="H63" s="3">
        <f t="shared" si="43"/>
        <v>4.9199999999999875</v>
      </c>
      <c r="I63" s="3">
        <f t="shared" si="44"/>
        <v>1180.799999999997</v>
      </c>
      <c r="J63" s="3">
        <v>266</v>
      </c>
      <c r="K63" s="1">
        <f t="shared" si="41"/>
        <v>269</v>
      </c>
      <c r="L63" s="3">
        <f t="shared" si="42"/>
        <v>3</v>
      </c>
      <c r="M63" s="10">
        <f t="shared" si="37"/>
        <v>360.00000000000006</v>
      </c>
    </row>
    <row r="64" spans="1:13" x14ac:dyDescent="0.25">
      <c r="A64" s="1" t="s">
        <v>535</v>
      </c>
      <c r="B64" s="1" t="s">
        <v>84</v>
      </c>
      <c r="C64" s="1">
        <v>5000246847</v>
      </c>
      <c r="D64" s="2">
        <v>93600</v>
      </c>
      <c r="E64" s="2">
        <f t="shared" si="32"/>
        <v>93600</v>
      </c>
      <c r="F64" s="3">
        <v>134.5</v>
      </c>
      <c r="G64" s="3">
        <v>139.41999999999999</v>
      </c>
      <c r="H64" s="3">
        <f t="shared" si="43"/>
        <v>4.9199999999999875</v>
      </c>
      <c r="I64" s="3">
        <f t="shared" si="44"/>
        <v>1416.9599999999964</v>
      </c>
      <c r="J64" s="3">
        <v>266</v>
      </c>
      <c r="K64" s="1">
        <f t="shared" si="41"/>
        <v>269</v>
      </c>
      <c r="L64" s="3">
        <f t="shared" si="42"/>
        <v>3</v>
      </c>
      <c r="M64" s="10">
        <f t="shared" si="37"/>
        <v>432.00000000000006</v>
      </c>
    </row>
    <row r="65" spans="1:13" x14ac:dyDescent="0.25">
      <c r="A65" s="1" t="s">
        <v>541</v>
      </c>
      <c r="B65" s="1" t="s">
        <v>84</v>
      </c>
      <c r="C65" s="1">
        <v>5000245118</v>
      </c>
      <c r="D65" s="2">
        <v>20850</v>
      </c>
      <c r="E65" s="2">
        <f t="shared" si="32"/>
        <v>20850</v>
      </c>
      <c r="F65" s="3">
        <v>134.5</v>
      </c>
      <c r="G65" s="3">
        <v>139.41999999999999</v>
      </c>
      <c r="H65" s="3">
        <f t="shared" si="43"/>
        <v>4.9199999999999875</v>
      </c>
      <c r="I65" s="3">
        <f t="shared" si="44"/>
        <v>315.63692307692224</v>
      </c>
      <c r="J65" s="3">
        <v>266</v>
      </c>
      <c r="K65" s="1">
        <f t="shared" si="41"/>
        <v>269</v>
      </c>
      <c r="L65" s="3">
        <f t="shared" si="42"/>
        <v>3</v>
      </c>
      <c r="M65" s="10">
        <f t="shared" si="37"/>
        <v>96.230769230769241</v>
      </c>
    </row>
    <row r="66" spans="1:13" x14ac:dyDescent="0.25">
      <c r="A66" s="1" t="s">
        <v>541</v>
      </c>
      <c r="B66" s="1" t="s">
        <v>84</v>
      </c>
      <c r="C66" s="1">
        <v>5000245118</v>
      </c>
      <c r="D66" s="2">
        <v>25595</v>
      </c>
      <c r="E66" s="2">
        <f t="shared" si="32"/>
        <v>25595</v>
      </c>
      <c r="F66" s="3">
        <v>134.5</v>
      </c>
      <c r="G66" s="3">
        <v>139.41999999999999</v>
      </c>
      <c r="H66" s="3">
        <f t="shared" si="43"/>
        <v>4.9199999999999875</v>
      </c>
      <c r="I66" s="3">
        <f t="shared" si="44"/>
        <v>387.46892307692207</v>
      </c>
      <c r="J66" s="3">
        <v>266</v>
      </c>
      <c r="K66" s="1">
        <f t="shared" si="41"/>
        <v>269</v>
      </c>
      <c r="L66" s="3">
        <f t="shared" si="42"/>
        <v>3</v>
      </c>
      <c r="M66" s="10">
        <f t="shared" si="37"/>
        <v>118.13076923076925</v>
      </c>
    </row>
    <row r="67" spans="1:13" x14ac:dyDescent="0.25">
      <c r="A67" s="1" t="s">
        <v>541</v>
      </c>
      <c r="B67" s="1" t="s">
        <v>84</v>
      </c>
      <c r="C67" s="1">
        <v>5000244902</v>
      </c>
      <c r="D67" s="2">
        <v>62755</v>
      </c>
      <c r="E67" s="2">
        <f t="shared" si="32"/>
        <v>62755</v>
      </c>
      <c r="F67" s="3">
        <v>134.5</v>
      </c>
      <c r="G67" s="3">
        <v>139.41999999999999</v>
      </c>
      <c r="H67" s="3">
        <f t="shared" si="43"/>
        <v>4.9199999999999875</v>
      </c>
      <c r="I67" s="3">
        <f t="shared" si="44"/>
        <v>950.01415384615143</v>
      </c>
      <c r="J67" s="3">
        <v>266</v>
      </c>
      <c r="K67" s="1">
        <f t="shared" si="41"/>
        <v>269</v>
      </c>
      <c r="L67" s="3">
        <f t="shared" si="42"/>
        <v>3</v>
      </c>
      <c r="M67" s="10">
        <f t="shared" si="37"/>
        <v>289.63846153846157</v>
      </c>
    </row>
    <row r="68" spans="1:13" x14ac:dyDescent="0.25">
      <c r="A68" s="1" t="s">
        <v>541</v>
      </c>
      <c r="B68" s="1" t="s">
        <v>84</v>
      </c>
      <c r="C68" s="1">
        <v>5000245118</v>
      </c>
      <c r="D68" s="2">
        <v>62755</v>
      </c>
      <c r="E68" s="2">
        <f t="shared" si="32"/>
        <v>62755</v>
      </c>
      <c r="F68" s="3">
        <v>134.5</v>
      </c>
      <c r="G68" s="3">
        <v>139.41999999999999</v>
      </c>
      <c r="H68" s="3">
        <f t="shared" si="43"/>
        <v>4.9199999999999875</v>
      </c>
      <c r="I68" s="3">
        <f t="shared" si="44"/>
        <v>950.01415384615143</v>
      </c>
      <c r="J68" s="3">
        <v>266</v>
      </c>
      <c r="K68" s="1">
        <f t="shared" si="41"/>
        <v>269</v>
      </c>
      <c r="L68" s="3">
        <f t="shared" si="42"/>
        <v>3</v>
      </c>
      <c r="M68" s="10">
        <f t="shared" si="37"/>
        <v>289.63846153846157</v>
      </c>
    </row>
    <row r="69" spans="1:13" x14ac:dyDescent="0.25">
      <c r="A69" s="1" t="s">
        <v>541</v>
      </c>
      <c r="B69" s="1" t="s">
        <v>84</v>
      </c>
      <c r="C69" s="1">
        <v>5000244902</v>
      </c>
      <c r="D69" s="2">
        <v>25595</v>
      </c>
      <c r="E69" s="2">
        <f t="shared" si="32"/>
        <v>25595</v>
      </c>
      <c r="F69" s="3">
        <v>134.5</v>
      </c>
      <c r="G69" s="3">
        <v>139.41999999999999</v>
      </c>
      <c r="H69" s="3">
        <f t="shared" si="43"/>
        <v>4.9199999999999875</v>
      </c>
      <c r="I69" s="3">
        <f t="shared" si="44"/>
        <v>387.46892307692207</v>
      </c>
      <c r="J69" s="3">
        <v>266</v>
      </c>
      <c r="K69" s="1">
        <f t="shared" si="41"/>
        <v>269</v>
      </c>
      <c r="L69" s="3">
        <f t="shared" si="42"/>
        <v>3</v>
      </c>
      <c r="M69" s="10">
        <f t="shared" si="37"/>
        <v>118.13076923076925</v>
      </c>
    </row>
    <row r="70" spans="1:13" x14ac:dyDescent="0.25">
      <c r="A70" s="1" t="s">
        <v>541</v>
      </c>
      <c r="B70" s="1" t="s">
        <v>84</v>
      </c>
      <c r="C70" s="1">
        <v>5000244902</v>
      </c>
      <c r="D70" s="2">
        <v>20850</v>
      </c>
      <c r="E70" s="2">
        <f t="shared" si="32"/>
        <v>20850</v>
      </c>
      <c r="F70" s="3">
        <v>134.5</v>
      </c>
      <c r="G70" s="3">
        <v>139.41999999999999</v>
      </c>
      <c r="H70" s="3">
        <f t="shared" si="43"/>
        <v>4.9199999999999875</v>
      </c>
      <c r="I70" s="3">
        <f t="shared" si="44"/>
        <v>315.63692307692224</v>
      </c>
      <c r="J70" s="3">
        <v>266</v>
      </c>
      <c r="K70" s="1">
        <f t="shared" si="41"/>
        <v>269</v>
      </c>
      <c r="L70" s="3">
        <f t="shared" si="42"/>
        <v>3</v>
      </c>
      <c r="M70" s="10">
        <f t="shared" si="37"/>
        <v>96.230769230769241</v>
      </c>
    </row>
    <row r="71" spans="1:13" x14ac:dyDescent="0.25">
      <c r="A71" s="1" t="s">
        <v>535</v>
      </c>
      <c r="B71" s="1" t="s">
        <v>110</v>
      </c>
      <c r="C71" s="1">
        <v>5000246847</v>
      </c>
      <c r="D71" s="2">
        <v>31850</v>
      </c>
      <c r="E71" s="2">
        <f t="shared" si="32"/>
        <v>31850</v>
      </c>
      <c r="F71" s="3">
        <v>161.4</v>
      </c>
      <c r="G71" s="40">
        <v>167.54</v>
      </c>
      <c r="H71" s="3">
        <f t="shared" si="43"/>
        <v>6.1399999999999864</v>
      </c>
      <c r="I71" s="3">
        <f t="shared" si="44"/>
        <v>601.71999999999866</v>
      </c>
      <c r="J71" s="2">
        <v>319</v>
      </c>
      <c r="K71" s="3">
        <v>322</v>
      </c>
      <c r="L71" s="3">
        <f t="shared" si="42"/>
        <v>3</v>
      </c>
      <c r="M71" s="133">
        <f t="shared" si="37"/>
        <v>147</v>
      </c>
    </row>
    <row r="72" spans="1:13" x14ac:dyDescent="0.25">
      <c r="A72" s="1" t="s">
        <v>529</v>
      </c>
      <c r="B72" s="1" t="s">
        <v>109</v>
      </c>
      <c r="C72" s="1">
        <v>5000248245</v>
      </c>
      <c r="D72" s="2">
        <v>12870</v>
      </c>
      <c r="E72" s="2"/>
      <c r="F72" s="3">
        <v>41.3</v>
      </c>
      <c r="G72" s="3">
        <v>43.38</v>
      </c>
      <c r="H72" s="3">
        <f t="shared" ref="H72:H78" si="45">G72-F72</f>
        <v>2.0800000000000054</v>
      </c>
      <c r="I72" s="3">
        <f t="shared" ref="I72:I78" si="46">H72*D72/130</f>
        <v>205.92000000000056</v>
      </c>
      <c r="J72" s="2"/>
      <c r="K72" s="3"/>
      <c r="L72" s="1"/>
      <c r="M72" s="1"/>
    </row>
    <row r="73" spans="1:13" x14ac:dyDescent="0.25">
      <c r="A73" s="1" t="s">
        <v>529</v>
      </c>
      <c r="B73" s="1" t="s">
        <v>109</v>
      </c>
      <c r="C73" s="1">
        <v>5000248245</v>
      </c>
      <c r="D73" s="1">
        <v>520</v>
      </c>
      <c r="E73" s="1"/>
      <c r="F73" s="3">
        <v>41.3</v>
      </c>
      <c r="G73" s="3">
        <v>43.38</v>
      </c>
      <c r="H73" s="3">
        <f t="shared" si="45"/>
        <v>2.0800000000000054</v>
      </c>
      <c r="I73" s="3">
        <f t="shared" si="46"/>
        <v>8.3200000000000216</v>
      </c>
      <c r="J73" s="1"/>
      <c r="K73" s="1"/>
      <c r="L73" s="1"/>
      <c r="M73" s="1"/>
    </row>
    <row r="74" spans="1:13" x14ac:dyDescent="0.25">
      <c r="A74" s="1" t="s">
        <v>529</v>
      </c>
      <c r="B74" s="1" t="s">
        <v>109</v>
      </c>
      <c r="C74" s="1">
        <v>5000248245</v>
      </c>
      <c r="D74" s="2">
        <v>2210</v>
      </c>
      <c r="E74" s="2"/>
      <c r="F74" s="3">
        <v>41.3</v>
      </c>
      <c r="G74" s="3">
        <v>43.38</v>
      </c>
      <c r="H74" s="3">
        <f t="shared" si="45"/>
        <v>2.0800000000000054</v>
      </c>
      <c r="I74" s="3">
        <f t="shared" si="46"/>
        <v>35.360000000000092</v>
      </c>
      <c r="J74" s="2"/>
      <c r="K74" s="1"/>
      <c r="L74" s="1"/>
      <c r="M74" s="1"/>
    </row>
    <row r="75" spans="1:13" x14ac:dyDescent="0.25">
      <c r="A75" s="1" t="s">
        <v>537</v>
      </c>
      <c r="B75" s="1" t="s">
        <v>109</v>
      </c>
      <c r="C75" s="1">
        <v>5000246104</v>
      </c>
      <c r="D75" s="2">
        <v>13000</v>
      </c>
      <c r="E75" s="2"/>
      <c r="F75" s="3">
        <v>41.3</v>
      </c>
      <c r="G75" s="3">
        <v>43.38</v>
      </c>
      <c r="H75" s="3">
        <f t="shared" si="45"/>
        <v>2.0800000000000054</v>
      </c>
      <c r="I75" s="3">
        <f t="shared" si="46"/>
        <v>208.00000000000054</v>
      </c>
      <c r="J75" s="2"/>
      <c r="K75" s="3"/>
      <c r="L75" s="1"/>
      <c r="M75" s="1"/>
    </row>
    <row r="76" spans="1:13" x14ac:dyDescent="0.25">
      <c r="A76" s="1" t="s">
        <v>529</v>
      </c>
      <c r="B76" s="1" t="s">
        <v>124</v>
      </c>
      <c r="C76" s="1">
        <v>5000248245</v>
      </c>
      <c r="D76" s="2">
        <v>5200</v>
      </c>
      <c r="E76" s="2"/>
      <c r="F76" s="3">
        <v>41.3</v>
      </c>
      <c r="G76" s="3">
        <v>43.38</v>
      </c>
      <c r="H76" s="3">
        <f t="shared" si="45"/>
        <v>2.0800000000000054</v>
      </c>
      <c r="I76" s="3">
        <f t="shared" si="46"/>
        <v>83.200000000000216</v>
      </c>
      <c r="J76" s="2"/>
      <c r="K76" s="3"/>
      <c r="L76" s="1"/>
      <c r="M76" s="1"/>
    </row>
    <row r="77" spans="1:13" x14ac:dyDescent="0.25">
      <c r="A77" s="1" t="s">
        <v>529</v>
      </c>
      <c r="B77" s="1" t="s">
        <v>125</v>
      </c>
      <c r="C77" s="1">
        <v>5000248246</v>
      </c>
      <c r="D77" s="2">
        <v>2600</v>
      </c>
      <c r="E77" s="2"/>
      <c r="F77" s="3">
        <v>41.3</v>
      </c>
      <c r="G77" s="3">
        <v>43.38</v>
      </c>
      <c r="H77" s="3">
        <f t="shared" si="45"/>
        <v>2.0800000000000054</v>
      </c>
      <c r="I77" s="3">
        <f t="shared" si="46"/>
        <v>41.600000000000108</v>
      </c>
      <c r="J77" s="2"/>
      <c r="K77" s="1"/>
      <c r="L77" s="1"/>
      <c r="M77" s="1"/>
    </row>
    <row r="78" spans="1:13" x14ac:dyDescent="0.25">
      <c r="A78" s="1" t="s">
        <v>529</v>
      </c>
      <c r="B78" s="1" t="s">
        <v>125</v>
      </c>
      <c r="C78" s="1">
        <v>5000248246</v>
      </c>
      <c r="D78" s="2">
        <v>13000</v>
      </c>
      <c r="E78" s="2"/>
      <c r="F78" s="3">
        <v>41.3</v>
      </c>
      <c r="G78" s="3">
        <v>43.38</v>
      </c>
      <c r="H78" s="3">
        <f t="shared" si="45"/>
        <v>2.0800000000000054</v>
      </c>
      <c r="I78" s="3">
        <f t="shared" si="46"/>
        <v>208.00000000000054</v>
      </c>
      <c r="J78" s="2"/>
      <c r="K78" s="3"/>
      <c r="L78" s="1"/>
      <c r="M78" s="1"/>
    </row>
    <row r="79" spans="1:13" x14ac:dyDescent="0.25">
      <c r="A79" s="1" t="s">
        <v>542</v>
      </c>
      <c r="B79" s="1" t="s">
        <v>482</v>
      </c>
      <c r="C79" s="1">
        <v>5000249632</v>
      </c>
      <c r="D79" s="2">
        <v>54040</v>
      </c>
      <c r="E79" s="2"/>
      <c r="F79" s="3">
        <v>150</v>
      </c>
      <c r="G79" s="3">
        <v>153</v>
      </c>
      <c r="H79" s="3">
        <f t="shared" ref="H79" si="47">G79-F79</f>
        <v>3</v>
      </c>
      <c r="I79" s="3">
        <f t="shared" ref="I79" si="48">H79*D79/325</f>
        <v>498.83076923076925</v>
      </c>
      <c r="J79" s="2"/>
      <c r="K79" s="3"/>
      <c r="L79" s="1"/>
      <c r="M79" s="1"/>
    </row>
    <row r="80" spans="1:13" x14ac:dyDescent="0.25">
      <c r="A80" s="1" t="s">
        <v>542</v>
      </c>
      <c r="B80" s="1" t="s">
        <v>482</v>
      </c>
      <c r="C80" s="1">
        <v>5000249632</v>
      </c>
      <c r="D80" s="2">
        <v>4460</v>
      </c>
      <c r="E80" s="2"/>
      <c r="F80" s="3">
        <v>150</v>
      </c>
      <c r="G80" s="3">
        <v>153</v>
      </c>
      <c r="H80" s="3">
        <f t="shared" ref="H80:H97" si="49">G80-F80</f>
        <v>3</v>
      </c>
      <c r="I80" s="3">
        <f t="shared" ref="I80:I96" si="50">H80*D80/325</f>
        <v>41.169230769230772</v>
      </c>
      <c r="J80" s="2"/>
      <c r="K80" s="3"/>
      <c r="L80" s="1"/>
      <c r="M80" s="1"/>
    </row>
    <row r="81" spans="1:13" x14ac:dyDescent="0.25">
      <c r="A81" s="1" t="s">
        <v>540</v>
      </c>
      <c r="B81" s="1" t="s">
        <v>482</v>
      </c>
      <c r="C81" s="1">
        <v>5000249044</v>
      </c>
      <c r="D81" s="2">
        <v>37550</v>
      </c>
      <c r="E81" s="2"/>
      <c r="F81" s="3">
        <v>150</v>
      </c>
      <c r="G81" s="3">
        <v>153</v>
      </c>
      <c r="H81" s="3">
        <f t="shared" si="49"/>
        <v>3</v>
      </c>
      <c r="I81" s="3">
        <f t="shared" si="50"/>
        <v>346.61538461538464</v>
      </c>
      <c r="J81" s="2"/>
      <c r="K81" s="3"/>
      <c r="L81" s="1"/>
      <c r="M81" s="1"/>
    </row>
    <row r="82" spans="1:13" x14ac:dyDescent="0.25">
      <c r="A82" s="1" t="s">
        <v>540</v>
      </c>
      <c r="B82" s="1" t="s">
        <v>482</v>
      </c>
      <c r="C82" s="1">
        <v>5000249044</v>
      </c>
      <c r="D82" s="2">
        <v>97000</v>
      </c>
      <c r="E82" s="2"/>
      <c r="F82" s="3">
        <v>150</v>
      </c>
      <c r="G82" s="3">
        <v>153</v>
      </c>
      <c r="H82" s="3">
        <f t="shared" si="49"/>
        <v>3</v>
      </c>
      <c r="I82" s="3">
        <f t="shared" si="50"/>
        <v>895.38461538461536</v>
      </c>
      <c r="J82" s="2"/>
      <c r="K82" s="3"/>
      <c r="L82" s="1"/>
      <c r="M82" s="1"/>
    </row>
    <row r="83" spans="1:13" x14ac:dyDescent="0.25">
      <c r="A83" s="1" t="s">
        <v>529</v>
      </c>
      <c r="B83" s="1" t="s">
        <v>482</v>
      </c>
      <c r="C83" s="1">
        <v>5000248246</v>
      </c>
      <c r="D83" s="2">
        <v>63510</v>
      </c>
      <c r="E83" s="2"/>
      <c r="F83" s="3">
        <v>150</v>
      </c>
      <c r="G83" s="3">
        <v>153</v>
      </c>
      <c r="H83" s="3">
        <f t="shared" si="49"/>
        <v>3</v>
      </c>
      <c r="I83" s="3">
        <f t="shared" si="50"/>
        <v>586.2461538461539</v>
      </c>
      <c r="J83" s="2"/>
      <c r="K83" s="3"/>
      <c r="L83" s="1"/>
      <c r="M83" s="1"/>
    </row>
    <row r="84" spans="1:13" x14ac:dyDescent="0.25">
      <c r="A84" s="1" t="s">
        <v>529</v>
      </c>
      <c r="B84" s="1" t="s">
        <v>482</v>
      </c>
      <c r="C84" s="1">
        <v>5000248246</v>
      </c>
      <c r="D84" s="2">
        <v>88590</v>
      </c>
      <c r="E84" s="2"/>
      <c r="F84" s="3">
        <v>150</v>
      </c>
      <c r="G84" s="3">
        <v>153</v>
      </c>
      <c r="H84" s="3">
        <f t="shared" si="49"/>
        <v>3</v>
      </c>
      <c r="I84" s="3">
        <f t="shared" si="50"/>
        <v>817.7538461538461</v>
      </c>
      <c r="J84" s="2"/>
      <c r="K84" s="3"/>
      <c r="L84" s="1"/>
      <c r="M84" s="1"/>
    </row>
    <row r="85" spans="1:13" x14ac:dyDescent="0.25">
      <c r="A85" s="1" t="s">
        <v>541</v>
      </c>
      <c r="B85" s="1" t="s">
        <v>482</v>
      </c>
      <c r="C85" s="1">
        <v>5000244902</v>
      </c>
      <c r="D85" s="2">
        <v>43760</v>
      </c>
      <c r="E85" s="2"/>
      <c r="F85" s="3">
        <v>150</v>
      </c>
      <c r="G85" s="3">
        <v>153</v>
      </c>
      <c r="H85" s="3">
        <f t="shared" si="49"/>
        <v>3</v>
      </c>
      <c r="I85" s="3">
        <f t="shared" si="50"/>
        <v>403.93846153846152</v>
      </c>
      <c r="J85" s="2"/>
      <c r="K85" s="3"/>
      <c r="L85" s="1"/>
      <c r="M85" s="1"/>
    </row>
    <row r="86" spans="1:13" x14ac:dyDescent="0.25">
      <c r="A86" s="1" t="s">
        <v>541</v>
      </c>
      <c r="B86" s="1" t="s">
        <v>482</v>
      </c>
      <c r="C86" s="1">
        <v>5000245118</v>
      </c>
      <c r="D86" s="2">
        <v>43760</v>
      </c>
      <c r="E86" s="2"/>
      <c r="F86" s="3">
        <v>150</v>
      </c>
      <c r="G86" s="3">
        <v>153</v>
      </c>
      <c r="H86" s="3">
        <f t="shared" si="49"/>
        <v>3</v>
      </c>
      <c r="I86" s="3">
        <f t="shared" si="50"/>
        <v>403.93846153846152</v>
      </c>
      <c r="J86" s="2"/>
      <c r="K86" s="3"/>
      <c r="L86" s="1"/>
      <c r="M86" s="1"/>
    </row>
    <row r="87" spans="1:13" x14ac:dyDescent="0.25">
      <c r="A87" s="1" t="s">
        <v>541</v>
      </c>
      <c r="B87" s="1" t="s">
        <v>482</v>
      </c>
      <c r="C87" s="1">
        <v>5000244902</v>
      </c>
      <c r="D87" s="2">
        <v>28870</v>
      </c>
      <c r="E87" s="2"/>
      <c r="F87" s="3">
        <v>150</v>
      </c>
      <c r="G87" s="3">
        <v>153</v>
      </c>
      <c r="H87" s="3">
        <f t="shared" si="49"/>
        <v>3</v>
      </c>
      <c r="I87" s="3">
        <f t="shared" si="50"/>
        <v>266.49230769230769</v>
      </c>
      <c r="J87" s="2"/>
      <c r="K87" s="3"/>
      <c r="L87" s="1"/>
      <c r="M87" s="1"/>
    </row>
    <row r="88" spans="1:13" x14ac:dyDescent="0.25">
      <c r="A88" s="1" t="s">
        <v>541</v>
      </c>
      <c r="B88" s="1" t="s">
        <v>482</v>
      </c>
      <c r="C88" s="1">
        <v>5000244902</v>
      </c>
      <c r="D88" s="2">
        <v>11575</v>
      </c>
      <c r="E88" s="2"/>
      <c r="F88" s="3">
        <v>150</v>
      </c>
      <c r="G88" s="3">
        <v>153</v>
      </c>
      <c r="H88" s="3">
        <f t="shared" si="49"/>
        <v>3</v>
      </c>
      <c r="I88" s="3">
        <f t="shared" si="50"/>
        <v>106.84615384615384</v>
      </c>
      <c r="J88" s="2"/>
      <c r="K88" s="3"/>
      <c r="L88" s="1"/>
      <c r="M88" s="1"/>
    </row>
    <row r="89" spans="1:13" x14ac:dyDescent="0.25">
      <c r="A89" s="1" t="s">
        <v>541</v>
      </c>
      <c r="B89" s="1" t="s">
        <v>482</v>
      </c>
      <c r="C89" s="1">
        <v>5000245118</v>
      </c>
      <c r="D89" s="2">
        <v>18850</v>
      </c>
      <c r="E89" s="2"/>
      <c r="F89" s="3">
        <v>150</v>
      </c>
      <c r="G89" s="3">
        <v>153</v>
      </c>
      <c r="H89" s="3">
        <f t="shared" si="49"/>
        <v>3</v>
      </c>
      <c r="I89" s="3">
        <f t="shared" si="50"/>
        <v>174</v>
      </c>
      <c r="J89" s="2"/>
      <c r="K89" s="3"/>
      <c r="L89" s="1"/>
      <c r="M89" s="1"/>
    </row>
    <row r="90" spans="1:13" x14ac:dyDescent="0.25">
      <c r="A90" s="1" t="s">
        <v>541</v>
      </c>
      <c r="B90" s="1" t="s">
        <v>482</v>
      </c>
      <c r="C90" s="1">
        <v>5000244902</v>
      </c>
      <c r="D90" s="2">
        <v>18850</v>
      </c>
      <c r="E90" s="2"/>
      <c r="F90" s="3">
        <v>150</v>
      </c>
      <c r="G90" s="3">
        <v>153</v>
      </c>
      <c r="H90" s="3">
        <f t="shared" si="49"/>
        <v>3</v>
      </c>
      <c r="I90" s="3">
        <f t="shared" si="50"/>
        <v>174</v>
      </c>
      <c r="J90" s="2"/>
      <c r="K90" s="3"/>
      <c r="L90" s="1"/>
      <c r="M90" s="1"/>
    </row>
    <row r="91" spans="1:13" x14ac:dyDescent="0.25">
      <c r="A91" s="1" t="s">
        <v>541</v>
      </c>
      <c r="B91" s="1" t="s">
        <v>482</v>
      </c>
      <c r="C91" s="1">
        <v>5000244902</v>
      </c>
      <c r="D91" s="2">
        <v>13500</v>
      </c>
      <c r="E91" s="2"/>
      <c r="F91" s="3">
        <v>150</v>
      </c>
      <c r="G91" s="3">
        <v>153</v>
      </c>
      <c r="H91" s="3">
        <f t="shared" si="49"/>
        <v>3</v>
      </c>
      <c r="I91" s="3">
        <f t="shared" si="50"/>
        <v>124.61538461538461</v>
      </c>
      <c r="J91" s="2"/>
      <c r="K91" s="3"/>
      <c r="L91" s="1"/>
      <c r="M91" s="1"/>
    </row>
    <row r="92" spans="1:13" x14ac:dyDescent="0.25">
      <c r="A92" s="1" t="s">
        <v>541</v>
      </c>
      <c r="B92" s="1" t="s">
        <v>482</v>
      </c>
      <c r="C92" s="1">
        <v>5000244902</v>
      </c>
      <c r="D92" s="2">
        <v>24820</v>
      </c>
      <c r="E92" s="2"/>
      <c r="F92" s="3">
        <v>150</v>
      </c>
      <c r="G92" s="3">
        <v>153</v>
      </c>
      <c r="H92" s="3">
        <f t="shared" si="49"/>
        <v>3</v>
      </c>
      <c r="I92" s="3">
        <f t="shared" si="50"/>
        <v>229.1076923076923</v>
      </c>
      <c r="J92" s="2"/>
      <c r="K92" s="3"/>
      <c r="L92" s="1"/>
      <c r="M92" s="1"/>
    </row>
    <row r="93" spans="1:13" x14ac:dyDescent="0.25">
      <c r="A93" s="1" t="s">
        <v>541</v>
      </c>
      <c r="B93" s="1" t="s">
        <v>482</v>
      </c>
      <c r="C93" s="1">
        <v>5000245118</v>
      </c>
      <c r="D93" s="2">
        <v>24820</v>
      </c>
      <c r="E93" s="2"/>
      <c r="F93" s="3">
        <v>150</v>
      </c>
      <c r="G93" s="3">
        <v>153</v>
      </c>
      <c r="H93" s="3">
        <f t="shared" si="49"/>
        <v>3</v>
      </c>
      <c r="I93" s="3">
        <f t="shared" si="50"/>
        <v>229.1076923076923</v>
      </c>
      <c r="J93" s="2"/>
      <c r="K93" s="3"/>
      <c r="L93" s="1"/>
      <c r="M93" s="1"/>
    </row>
    <row r="94" spans="1:13" x14ac:dyDescent="0.25">
      <c r="A94" s="1" t="s">
        <v>541</v>
      </c>
      <c r="B94" s="1" t="s">
        <v>482</v>
      </c>
      <c r="C94" s="1">
        <v>5000245118</v>
      </c>
      <c r="D94" s="2">
        <v>11575</v>
      </c>
      <c r="E94" s="2"/>
      <c r="F94" s="3">
        <v>150</v>
      </c>
      <c r="G94" s="3">
        <v>153</v>
      </c>
      <c r="H94" s="3">
        <f t="shared" si="49"/>
        <v>3</v>
      </c>
      <c r="I94" s="3">
        <f t="shared" si="50"/>
        <v>106.84615384615384</v>
      </c>
      <c r="J94" s="2"/>
      <c r="K94" s="3"/>
      <c r="L94" s="1"/>
      <c r="M94" s="1"/>
    </row>
    <row r="95" spans="1:13" x14ac:dyDescent="0.25">
      <c r="A95" s="1" t="s">
        <v>541</v>
      </c>
      <c r="B95" s="1" t="s">
        <v>482</v>
      </c>
      <c r="C95" s="1">
        <v>5000245118</v>
      </c>
      <c r="D95" s="2">
        <v>13500</v>
      </c>
      <c r="E95" s="2"/>
      <c r="F95" s="3">
        <v>150</v>
      </c>
      <c r="G95" s="3">
        <v>153</v>
      </c>
      <c r="H95" s="3">
        <f t="shared" si="49"/>
        <v>3</v>
      </c>
      <c r="I95" s="3">
        <f t="shared" si="50"/>
        <v>124.61538461538461</v>
      </c>
      <c r="J95" s="2"/>
      <c r="K95" s="3"/>
      <c r="L95" s="1"/>
      <c r="M95" s="1"/>
    </row>
    <row r="96" spans="1:13" x14ac:dyDescent="0.25">
      <c r="A96" s="1" t="s">
        <v>541</v>
      </c>
      <c r="B96" s="1" t="s">
        <v>482</v>
      </c>
      <c r="C96" s="1">
        <v>5000245118</v>
      </c>
      <c r="D96" s="2">
        <v>28870</v>
      </c>
      <c r="E96" s="2"/>
      <c r="F96" s="3">
        <v>150</v>
      </c>
      <c r="G96" s="3">
        <v>153</v>
      </c>
      <c r="H96" s="3">
        <f t="shared" si="49"/>
        <v>3</v>
      </c>
      <c r="I96" s="3">
        <f t="shared" si="50"/>
        <v>266.49230769230769</v>
      </c>
      <c r="J96" s="2"/>
      <c r="K96" s="3"/>
      <c r="L96" s="1"/>
      <c r="M96" s="1"/>
    </row>
    <row r="97" spans="1:13" x14ac:dyDescent="0.25">
      <c r="A97" s="1" t="s">
        <v>540</v>
      </c>
      <c r="B97" s="1" t="s">
        <v>474</v>
      </c>
      <c r="C97" s="1">
        <v>5000249044</v>
      </c>
      <c r="D97" s="2">
        <v>93600</v>
      </c>
      <c r="E97" s="2">
        <f t="shared" ref="E97:E107" si="51">D97</f>
        <v>93600</v>
      </c>
      <c r="F97" s="3">
        <v>134.5</v>
      </c>
      <c r="G97" s="3">
        <v>139.41999999999999</v>
      </c>
      <c r="H97" s="3">
        <f t="shared" si="49"/>
        <v>4.9199999999999875</v>
      </c>
      <c r="I97" s="3">
        <f>H97*D97/325</f>
        <v>1416.9599999999964</v>
      </c>
      <c r="J97" s="3">
        <v>266</v>
      </c>
      <c r="K97" s="1">
        <f>F97*2</f>
        <v>269</v>
      </c>
      <c r="L97" s="3">
        <f>K97-J97</f>
        <v>3</v>
      </c>
      <c r="M97" s="1">
        <f>L97/650*D97</f>
        <v>432.00000000000006</v>
      </c>
    </row>
    <row r="98" spans="1:13" x14ac:dyDescent="0.25">
      <c r="A98" s="1" t="s">
        <v>529</v>
      </c>
      <c r="B98" s="1" t="s">
        <v>474</v>
      </c>
      <c r="C98" s="1">
        <v>5000248246</v>
      </c>
      <c r="D98" s="2">
        <v>202800</v>
      </c>
      <c r="E98" s="2">
        <f t="shared" si="51"/>
        <v>202800</v>
      </c>
      <c r="F98" s="3">
        <v>134.5</v>
      </c>
      <c r="G98" s="3">
        <v>139.41999999999999</v>
      </c>
      <c r="H98" s="3">
        <f t="shared" ref="H98:H103" si="52">G98-F98</f>
        <v>4.9199999999999875</v>
      </c>
      <c r="I98" s="3">
        <f t="shared" ref="I98:I103" si="53">H98*D98/325</f>
        <v>3070.0799999999922</v>
      </c>
      <c r="J98" s="3">
        <v>266</v>
      </c>
      <c r="K98" s="1">
        <f t="shared" ref="K98:K103" si="54">F98*2</f>
        <v>269</v>
      </c>
      <c r="L98" s="3">
        <f t="shared" ref="L98:L103" si="55">K98-J98</f>
        <v>3</v>
      </c>
      <c r="M98" s="1">
        <f t="shared" ref="M98:M103" si="56">L98/650*D98</f>
        <v>936.00000000000011</v>
      </c>
    </row>
    <row r="99" spans="1:13" x14ac:dyDescent="0.25">
      <c r="A99" s="1" t="s">
        <v>539</v>
      </c>
      <c r="B99" s="1" t="s">
        <v>474</v>
      </c>
      <c r="C99" s="1">
        <v>5000247522</v>
      </c>
      <c r="D99" s="2">
        <v>50700</v>
      </c>
      <c r="E99" s="2">
        <f t="shared" si="51"/>
        <v>50700</v>
      </c>
      <c r="F99" s="3">
        <v>134.5</v>
      </c>
      <c r="G99" s="3">
        <v>139.41999999999999</v>
      </c>
      <c r="H99" s="3">
        <f t="shared" si="52"/>
        <v>4.9199999999999875</v>
      </c>
      <c r="I99" s="3">
        <f t="shared" si="53"/>
        <v>767.51999999999805</v>
      </c>
      <c r="J99" s="3">
        <v>266</v>
      </c>
      <c r="K99" s="1">
        <f t="shared" si="54"/>
        <v>269</v>
      </c>
      <c r="L99" s="3">
        <f t="shared" si="55"/>
        <v>3</v>
      </c>
      <c r="M99" s="1">
        <f t="shared" si="56"/>
        <v>234.00000000000003</v>
      </c>
    </row>
    <row r="100" spans="1:13" x14ac:dyDescent="0.25">
      <c r="A100" s="1" t="s">
        <v>537</v>
      </c>
      <c r="B100" s="1" t="s">
        <v>474</v>
      </c>
      <c r="C100" s="1">
        <v>5000246104</v>
      </c>
      <c r="D100" s="2">
        <v>263250</v>
      </c>
      <c r="E100" s="2">
        <f t="shared" si="51"/>
        <v>263250</v>
      </c>
      <c r="F100" s="3">
        <v>134.5</v>
      </c>
      <c r="G100" s="3">
        <v>139.41999999999999</v>
      </c>
      <c r="H100" s="3">
        <f t="shared" si="52"/>
        <v>4.9199999999999875</v>
      </c>
      <c r="I100" s="3">
        <f t="shared" si="53"/>
        <v>3985.1999999999898</v>
      </c>
      <c r="J100" s="3">
        <v>266</v>
      </c>
      <c r="K100" s="1">
        <f t="shared" si="54"/>
        <v>269</v>
      </c>
      <c r="L100" s="3">
        <f t="shared" si="55"/>
        <v>3</v>
      </c>
      <c r="M100" s="1">
        <f t="shared" si="56"/>
        <v>1215</v>
      </c>
    </row>
    <row r="101" spans="1:13" x14ac:dyDescent="0.25">
      <c r="A101" s="1" t="s">
        <v>541</v>
      </c>
      <c r="B101" s="1" t="s">
        <v>474</v>
      </c>
      <c r="C101" s="1">
        <v>5000244902</v>
      </c>
      <c r="D101" s="2">
        <v>109200</v>
      </c>
      <c r="E101" s="2">
        <f t="shared" si="51"/>
        <v>109200</v>
      </c>
      <c r="F101" s="3">
        <v>134.5</v>
      </c>
      <c r="G101" s="3">
        <v>139.41999999999999</v>
      </c>
      <c r="H101" s="3">
        <f t="shared" si="52"/>
        <v>4.9199999999999875</v>
      </c>
      <c r="I101" s="3">
        <f t="shared" si="53"/>
        <v>1653.1199999999958</v>
      </c>
      <c r="J101" s="3">
        <v>266</v>
      </c>
      <c r="K101" s="1">
        <f t="shared" si="54"/>
        <v>269</v>
      </c>
      <c r="L101" s="3">
        <f t="shared" si="55"/>
        <v>3</v>
      </c>
      <c r="M101" s="1">
        <f t="shared" si="56"/>
        <v>504.00000000000006</v>
      </c>
    </row>
    <row r="102" spans="1:13" x14ac:dyDescent="0.25">
      <c r="A102" s="1" t="s">
        <v>541</v>
      </c>
      <c r="B102" s="1" t="s">
        <v>474</v>
      </c>
      <c r="C102" s="1">
        <v>5000245118</v>
      </c>
      <c r="D102" s="2">
        <v>109200</v>
      </c>
      <c r="E102" s="2">
        <f t="shared" si="51"/>
        <v>109200</v>
      </c>
      <c r="F102" s="3">
        <v>134.5</v>
      </c>
      <c r="G102" s="3">
        <v>139.41999999999999</v>
      </c>
      <c r="H102" s="3">
        <f t="shared" si="52"/>
        <v>4.9199999999999875</v>
      </c>
      <c r="I102" s="3">
        <f t="shared" si="53"/>
        <v>1653.1199999999958</v>
      </c>
      <c r="J102" s="3">
        <v>266</v>
      </c>
      <c r="K102" s="1">
        <f t="shared" si="54"/>
        <v>269</v>
      </c>
      <c r="L102" s="3">
        <f t="shared" si="55"/>
        <v>3</v>
      </c>
      <c r="M102" s="1">
        <f t="shared" si="56"/>
        <v>504.00000000000006</v>
      </c>
    </row>
    <row r="103" spans="1:13" x14ac:dyDescent="0.25">
      <c r="A103" s="1" t="s">
        <v>539</v>
      </c>
      <c r="B103" s="1" t="s">
        <v>543</v>
      </c>
      <c r="C103" s="1">
        <v>5000247522</v>
      </c>
      <c r="D103" s="2">
        <v>57140</v>
      </c>
      <c r="E103" s="2">
        <f t="shared" si="51"/>
        <v>57140</v>
      </c>
      <c r="F103" s="3">
        <v>161.4</v>
      </c>
      <c r="G103" s="3">
        <v>167.54</v>
      </c>
      <c r="H103" s="3">
        <f t="shared" si="52"/>
        <v>6.1399999999999864</v>
      </c>
      <c r="I103" s="3">
        <f t="shared" si="53"/>
        <v>1079.5064615384592</v>
      </c>
      <c r="J103" s="3">
        <v>319</v>
      </c>
      <c r="K103" s="1">
        <f t="shared" si="54"/>
        <v>322.8</v>
      </c>
      <c r="L103" s="3">
        <f t="shared" si="55"/>
        <v>3.8000000000000114</v>
      </c>
      <c r="M103" s="1">
        <f t="shared" si="56"/>
        <v>334.04923076923177</v>
      </c>
    </row>
    <row r="104" spans="1:13" x14ac:dyDescent="0.25">
      <c r="A104" s="1" t="s">
        <v>539</v>
      </c>
      <c r="B104" s="1" t="s">
        <v>543</v>
      </c>
      <c r="C104" s="1">
        <v>5000247522</v>
      </c>
      <c r="D104" s="2">
        <v>72210</v>
      </c>
      <c r="E104" s="2">
        <f t="shared" si="51"/>
        <v>72210</v>
      </c>
      <c r="F104" s="3">
        <v>161.4</v>
      </c>
      <c r="G104" s="3">
        <v>167.54</v>
      </c>
      <c r="H104" s="3">
        <f t="shared" ref="H104:H107" si="57">G104-F104</f>
        <v>6.1399999999999864</v>
      </c>
      <c r="I104" s="3">
        <f t="shared" ref="I104:I107" si="58">H104*D104/325</f>
        <v>1364.2135384615356</v>
      </c>
      <c r="J104" s="3">
        <v>319</v>
      </c>
      <c r="K104" s="1">
        <f t="shared" ref="K104:K107" si="59">F104*2</f>
        <v>322.8</v>
      </c>
      <c r="L104" s="3">
        <f t="shared" ref="L104:L107" si="60">K104-J104</f>
        <v>3.8000000000000114</v>
      </c>
      <c r="M104" s="1">
        <f t="shared" ref="M104:M107" si="61">L104/650*D104</f>
        <v>422.15076923077049</v>
      </c>
    </row>
    <row r="105" spans="1:13" x14ac:dyDescent="0.25">
      <c r="A105" s="1" t="s">
        <v>539</v>
      </c>
      <c r="B105" s="1" t="s">
        <v>543</v>
      </c>
      <c r="C105" s="1">
        <v>5000247522</v>
      </c>
      <c r="D105" s="2">
        <v>32500</v>
      </c>
      <c r="E105" s="2">
        <f t="shared" si="51"/>
        <v>32500</v>
      </c>
      <c r="F105" s="3">
        <v>161.4</v>
      </c>
      <c r="G105" s="3">
        <v>167.54</v>
      </c>
      <c r="H105" s="3">
        <f t="shared" si="57"/>
        <v>6.1399999999999864</v>
      </c>
      <c r="I105" s="3">
        <f t="shared" si="58"/>
        <v>613.99999999999864</v>
      </c>
      <c r="J105" s="3">
        <v>319</v>
      </c>
      <c r="K105" s="1">
        <f t="shared" si="59"/>
        <v>322.8</v>
      </c>
      <c r="L105" s="3">
        <f t="shared" si="60"/>
        <v>3.8000000000000114</v>
      </c>
      <c r="M105" s="1">
        <f t="shared" si="61"/>
        <v>190.00000000000057</v>
      </c>
    </row>
    <row r="106" spans="1:13" x14ac:dyDescent="0.25">
      <c r="A106" s="1" t="s">
        <v>539</v>
      </c>
      <c r="B106" s="1" t="s">
        <v>543</v>
      </c>
      <c r="C106" s="1">
        <v>5000247523</v>
      </c>
      <c r="D106" s="2">
        <v>32500</v>
      </c>
      <c r="E106" s="2">
        <f t="shared" si="51"/>
        <v>32500</v>
      </c>
      <c r="F106" s="3">
        <v>161.4</v>
      </c>
      <c r="G106" s="3">
        <v>167.54</v>
      </c>
      <c r="H106" s="3">
        <f t="shared" si="57"/>
        <v>6.1399999999999864</v>
      </c>
      <c r="I106" s="3">
        <f t="shared" si="58"/>
        <v>613.99999999999864</v>
      </c>
      <c r="J106" s="3">
        <v>319</v>
      </c>
      <c r="K106" s="1">
        <f t="shared" si="59"/>
        <v>322.8</v>
      </c>
      <c r="L106" s="3">
        <f t="shared" si="60"/>
        <v>3.8000000000000114</v>
      </c>
      <c r="M106" s="1">
        <f t="shared" si="61"/>
        <v>190.00000000000057</v>
      </c>
    </row>
    <row r="107" spans="1:13" x14ac:dyDescent="0.25">
      <c r="A107" s="1" t="s">
        <v>535</v>
      </c>
      <c r="B107" s="1" t="s">
        <v>543</v>
      </c>
      <c r="C107" s="1">
        <v>5000246847</v>
      </c>
      <c r="D107" s="2">
        <v>91000</v>
      </c>
      <c r="E107" s="2">
        <f t="shared" si="51"/>
        <v>91000</v>
      </c>
      <c r="F107" s="3">
        <v>161.4</v>
      </c>
      <c r="G107" s="3">
        <v>167.54</v>
      </c>
      <c r="H107" s="3">
        <f t="shared" si="57"/>
        <v>6.1399999999999864</v>
      </c>
      <c r="I107" s="3">
        <f t="shared" si="58"/>
        <v>1719.199999999996</v>
      </c>
      <c r="J107" s="3">
        <v>319</v>
      </c>
      <c r="K107" s="1">
        <f t="shared" si="59"/>
        <v>322.8</v>
      </c>
      <c r="L107" s="3">
        <f t="shared" si="60"/>
        <v>3.8000000000000114</v>
      </c>
      <c r="M107" s="1">
        <f t="shared" si="61"/>
        <v>532.00000000000159</v>
      </c>
    </row>
    <row r="108" spans="1:13" x14ac:dyDescent="0.25">
      <c r="D108" s="33">
        <f>SUM(D36:D107)</f>
        <v>3390330</v>
      </c>
      <c r="E108" s="33">
        <f>SUM(E46:E107)</f>
        <v>2344870</v>
      </c>
    </row>
    <row r="109" spans="1:13" x14ac:dyDescent="0.25">
      <c r="H109" s="1" t="s">
        <v>58</v>
      </c>
      <c r="I109" s="3">
        <f>SUM(I36:I107)</f>
        <v>51569.679999999906</v>
      </c>
      <c r="J109" s="1"/>
      <c r="K109" s="1"/>
      <c r="L109" s="1"/>
      <c r="M109" s="3">
        <f>SUM(M36:M107)</f>
        <v>12115.270769230783</v>
      </c>
    </row>
    <row r="113" spans="1:13" x14ac:dyDescent="0.25">
      <c r="A113" s="1" t="s">
        <v>172</v>
      </c>
      <c r="B113" s="1" t="s">
        <v>169</v>
      </c>
      <c r="C113" s="1" t="s">
        <v>167</v>
      </c>
      <c r="D113" s="1"/>
      <c r="E113" s="1"/>
      <c r="F113" s="1" t="s">
        <v>22</v>
      </c>
      <c r="G113" s="1" t="s">
        <v>276</v>
      </c>
      <c r="H113" s="1" t="s">
        <v>170</v>
      </c>
      <c r="I113" s="1" t="s">
        <v>52</v>
      </c>
      <c r="J113" s="1" t="s">
        <v>21</v>
      </c>
      <c r="K113" s="113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3" x14ac:dyDescent="0.25">
      <c r="A115" s="1" t="s">
        <v>544</v>
      </c>
      <c r="B115" s="1" t="s">
        <v>484</v>
      </c>
      <c r="C115" s="1">
        <v>5000248003</v>
      </c>
      <c r="D115" s="1">
        <v>105</v>
      </c>
      <c r="E115" s="1"/>
      <c r="F115" s="2">
        <v>2913</v>
      </c>
      <c r="G115" s="1">
        <v>72.5</v>
      </c>
      <c r="H115" s="1">
        <v>75.349999999999994</v>
      </c>
      <c r="I115" s="1">
        <f>H115-G115</f>
        <v>2.8499999999999943</v>
      </c>
      <c r="J115" s="1">
        <f>F115*I115</f>
        <v>8302.0499999999829</v>
      </c>
    </row>
    <row r="116" spans="1:13" x14ac:dyDescent="0.25">
      <c r="A116" s="1" t="s">
        <v>545</v>
      </c>
      <c r="B116" s="1" t="s">
        <v>484</v>
      </c>
      <c r="C116" s="1">
        <v>5000246956</v>
      </c>
      <c r="D116" s="1">
        <v>105</v>
      </c>
      <c r="E116" s="1"/>
      <c r="F116" s="2">
        <v>3171</v>
      </c>
      <c r="G116" s="1">
        <v>72.5</v>
      </c>
      <c r="H116" s="1">
        <v>75.349999999999994</v>
      </c>
      <c r="I116" s="1">
        <f t="shared" ref="I116:I126" si="62">H116-G116</f>
        <v>2.8499999999999943</v>
      </c>
      <c r="J116" s="1">
        <f t="shared" ref="J116:J126" si="63">F116*I116</f>
        <v>9037.3499999999822</v>
      </c>
    </row>
    <row r="117" spans="1:13" x14ac:dyDescent="0.25">
      <c r="A117" s="1" t="s">
        <v>546</v>
      </c>
      <c r="B117" s="1" t="s">
        <v>484</v>
      </c>
      <c r="C117" s="1">
        <v>5000245896</v>
      </c>
      <c r="D117" s="1">
        <v>105</v>
      </c>
      <c r="E117" s="1"/>
      <c r="F117" s="2">
        <v>2356</v>
      </c>
      <c r="G117" s="1">
        <v>72.5</v>
      </c>
      <c r="H117" s="1">
        <v>75.349999999999994</v>
      </c>
      <c r="I117" s="1">
        <f t="shared" si="62"/>
        <v>2.8499999999999943</v>
      </c>
      <c r="J117" s="1">
        <f t="shared" si="63"/>
        <v>6714.5999999999867</v>
      </c>
    </row>
    <row r="118" spans="1:13" x14ac:dyDescent="0.25">
      <c r="A118" s="1" t="s">
        <v>547</v>
      </c>
      <c r="B118" s="1" t="s">
        <v>484</v>
      </c>
      <c r="C118" s="1">
        <v>5000244766</v>
      </c>
      <c r="D118" s="1">
        <v>105</v>
      </c>
      <c r="E118" s="1"/>
      <c r="F118" s="3">
        <v>3032.29</v>
      </c>
      <c r="G118" s="1">
        <v>72.5</v>
      </c>
      <c r="H118" s="1">
        <v>75.349999999999994</v>
      </c>
      <c r="I118" s="1">
        <f t="shared" si="62"/>
        <v>2.8499999999999943</v>
      </c>
      <c r="J118" s="1">
        <f t="shared" si="63"/>
        <v>8642.0264999999818</v>
      </c>
    </row>
    <row r="119" spans="1:13" x14ac:dyDescent="0.25">
      <c r="A119" s="1" t="s">
        <v>545</v>
      </c>
      <c r="B119" s="1" t="s">
        <v>108</v>
      </c>
      <c r="C119" s="1">
        <v>5000246956</v>
      </c>
      <c r="D119" s="1">
        <v>105</v>
      </c>
      <c r="E119" s="1"/>
      <c r="F119" s="1">
        <v>913</v>
      </c>
      <c r="G119" s="1">
        <v>72.5</v>
      </c>
      <c r="H119" s="1">
        <v>75.349999999999994</v>
      </c>
      <c r="I119" s="1">
        <f t="shared" si="62"/>
        <v>2.8499999999999943</v>
      </c>
      <c r="J119" s="1">
        <f t="shared" si="63"/>
        <v>2602.0499999999947</v>
      </c>
    </row>
    <row r="120" spans="1:13" x14ac:dyDescent="0.25">
      <c r="A120" s="1" t="s">
        <v>537</v>
      </c>
      <c r="B120" s="1" t="s">
        <v>108</v>
      </c>
      <c r="C120" s="1">
        <v>5000246103</v>
      </c>
      <c r="D120" s="1">
        <v>105</v>
      </c>
      <c r="E120" s="1"/>
      <c r="F120" s="1">
        <v>251.55</v>
      </c>
      <c r="G120" s="1">
        <v>72.5</v>
      </c>
      <c r="H120" s="1">
        <v>75.349999999999994</v>
      </c>
      <c r="I120" s="1">
        <f t="shared" si="62"/>
        <v>2.8499999999999943</v>
      </c>
      <c r="J120" s="1">
        <f t="shared" si="63"/>
        <v>716.91749999999865</v>
      </c>
    </row>
    <row r="121" spans="1:13" x14ac:dyDescent="0.25">
      <c r="A121" s="1" t="s">
        <v>537</v>
      </c>
      <c r="B121" s="1" t="s">
        <v>108</v>
      </c>
      <c r="C121" s="1">
        <v>5000246103</v>
      </c>
      <c r="D121" s="1">
        <v>105</v>
      </c>
      <c r="E121" s="1"/>
      <c r="F121" s="1">
        <v>880</v>
      </c>
      <c r="G121" s="1">
        <v>72.5</v>
      </c>
      <c r="H121" s="1">
        <v>75.349999999999994</v>
      </c>
      <c r="I121" s="1">
        <f t="shared" si="62"/>
        <v>2.8499999999999943</v>
      </c>
      <c r="J121" s="1">
        <f t="shared" si="63"/>
        <v>2507.999999999995</v>
      </c>
    </row>
    <row r="122" spans="1:13" x14ac:dyDescent="0.25">
      <c r="A122" s="1" t="s">
        <v>537</v>
      </c>
      <c r="B122" s="1" t="s">
        <v>108</v>
      </c>
      <c r="C122" s="1">
        <v>5000246103</v>
      </c>
      <c r="D122" s="1">
        <v>105</v>
      </c>
      <c r="E122" s="1"/>
      <c r="F122" s="1">
        <v>25.45</v>
      </c>
      <c r="G122" s="1">
        <v>72.5</v>
      </c>
      <c r="H122" s="1">
        <v>75.349999999999994</v>
      </c>
      <c r="I122" s="1">
        <f t="shared" si="62"/>
        <v>2.8499999999999943</v>
      </c>
      <c r="J122" s="1">
        <f t="shared" si="63"/>
        <v>72.532499999999857</v>
      </c>
    </row>
    <row r="123" spans="1:13" x14ac:dyDescent="0.25">
      <c r="A123" s="1" t="s">
        <v>537</v>
      </c>
      <c r="B123" s="1" t="s">
        <v>108</v>
      </c>
      <c r="C123" s="1">
        <v>5000246103</v>
      </c>
      <c r="D123" s="1">
        <v>105</v>
      </c>
      <c r="E123" s="1"/>
      <c r="F123" s="1">
        <v>900</v>
      </c>
      <c r="G123" s="1">
        <v>72.5</v>
      </c>
      <c r="H123" s="1">
        <v>75.349999999999994</v>
      </c>
      <c r="I123" s="1">
        <f t="shared" si="62"/>
        <v>2.8499999999999943</v>
      </c>
      <c r="J123" s="1">
        <f t="shared" si="63"/>
        <v>2564.999999999995</v>
      </c>
    </row>
    <row r="124" spans="1:13" x14ac:dyDescent="0.25">
      <c r="A124" s="1" t="s">
        <v>546</v>
      </c>
      <c r="B124" s="1" t="s">
        <v>158</v>
      </c>
      <c r="C124" s="1">
        <v>5000245896</v>
      </c>
      <c r="D124" s="1">
        <v>105</v>
      </c>
      <c r="E124" s="1"/>
      <c r="F124" s="2">
        <v>1307</v>
      </c>
      <c r="G124" s="1">
        <v>72</v>
      </c>
      <c r="H124" s="1">
        <v>74.75</v>
      </c>
      <c r="I124" s="1">
        <f t="shared" si="62"/>
        <v>2.75</v>
      </c>
      <c r="J124" s="1">
        <f t="shared" si="63"/>
        <v>3594.25</v>
      </c>
    </row>
    <row r="125" spans="1:13" x14ac:dyDescent="0.25">
      <c r="A125" s="1" t="s">
        <v>544</v>
      </c>
      <c r="B125" s="1" t="s">
        <v>91</v>
      </c>
      <c r="C125" s="1">
        <v>5000248003</v>
      </c>
      <c r="D125" s="1">
        <v>105</v>
      </c>
      <c r="E125" s="1"/>
      <c r="F125" s="2">
        <v>1430</v>
      </c>
      <c r="G125" s="1">
        <v>72</v>
      </c>
      <c r="H125" s="1">
        <v>74.75</v>
      </c>
      <c r="I125" s="1">
        <f t="shared" si="62"/>
        <v>2.75</v>
      </c>
      <c r="J125" s="1">
        <f t="shared" si="63"/>
        <v>3932.5</v>
      </c>
    </row>
    <row r="126" spans="1:13" x14ac:dyDescent="0.25">
      <c r="A126" s="1" t="s">
        <v>544</v>
      </c>
      <c r="B126" s="1" t="s">
        <v>91</v>
      </c>
      <c r="C126" s="1">
        <v>5000248003</v>
      </c>
      <c r="D126" s="1">
        <v>105</v>
      </c>
      <c r="E126" s="1"/>
      <c r="F126" s="1">
        <v>456</v>
      </c>
      <c r="G126" s="1">
        <v>72</v>
      </c>
      <c r="H126" s="1">
        <v>74.75</v>
      </c>
      <c r="I126" s="1">
        <f t="shared" si="62"/>
        <v>2.75</v>
      </c>
      <c r="J126" s="1">
        <f t="shared" si="63"/>
        <v>1254</v>
      </c>
    </row>
    <row r="127" spans="1:13" x14ac:dyDescent="0.25">
      <c r="A127" s="1"/>
      <c r="B127" s="1"/>
      <c r="C127" s="1"/>
      <c r="D127" s="1"/>
      <c r="E127" s="1"/>
      <c r="F127" s="2">
        <f>SUM(F115:F126)</f>
        <v>17635.29</v>
      </c>
      <c r="G127" s="1"/>
      <c r="H127" s="1"/>
      <c r="I127" s="1"/>
      <c r="J127" s="4">
        <f>SUM(J115:J126)</f>
        <v>49941.276499999913</v>
      </c>
    </row>
    <row r="129" spans="1:14" x14ac:dyDescent="0.25">
      <c r="A129" t="s">
        <v>410</v>
      </c>
    </row>
    <row r="130" spans="1:14" x14ac:dyDescent="0.25">
      <c r="A130" s="1" t="s">
        <v>390</v>
      </c>
      <c r="B130" s="1" t="s">
        <v>169</v>
      </c>
      <c r="C130" s="1" t="s">
        <v>208</v>
      </c>
      <c r="D130" s="1" t="s">
        <v>168</v>
      </c>
      <c r="E130" s="1"/>
      <c r="F130" s="1" t="s">
        <v>22</v>
      </c>
      <c r="G130" s="1" t="s">
        <v>209</v>
      </c>
      <c r="H130" s="1" t="s">
        <v>210</v>
      </c>
      <c r="I130" s="1" t="s">
        <v>52</v>
      </c>
      <c r="J130" s="1" t="s">
        <v>21</v>
      </c>
      <c r="K130" s="1"/>
      <c r="L130" s="1"/>
    </row>
    <row r="131" spans="1:14" x14ac:dyDescent="0.25">
      <c r="A131" s="1" t="s">
        <v>545</v>
      </c>
      <c r="B131" s="1" t="s">
        <v>548</v>
      </c>
      <c r="C131" s="1">
        <v>5000246818</v>
      </c>
      <c r="D131" s="1">
        <v>105</v>
      </c>
      <c r="E131" s="1"/>
      <c r="F131" s="2">
        <v>20000</v>
      </c>
      <c r="G131" s="1">
        <v>1310</v>
      </c>
      <c r="H131" s="1">
        <f>1600+285</f>
        <v>1885</v>
      </c>
      <c r="I131" s="1">
        <f>H131-G131</f>
        <v>575</v>
      </c>
      <c r="J131" s="1">
        <f>I131*F131/1000</f>
        <v>11500</v>
      </c>
    </row>
    <row r="132" spans="1:14" x14ac:dyDescent="0.25">
      <c r="A132" s="1" t="s">
        <v>545</v>
      </c>
      <c r="B132" s="1" t="s">
        <v>548</v>
      </c>
      <c r="C132" s="1">
        <v>5000246818</v>
      </c>
      <c r="D132" s="1">
        <v>105</v>
      </c>
      <c r="E132" s="1"/>
      <c r="F132" s="2">
        <v>1000</v>
      </c>
      <c r="G132" s="1">
        <v>1310</v>
      </c>
      <c r="H132" s="1">
        <f>1600+285</f>
        <v>1885</v>
      </c>
      <c r="I132" s="1">
        <f>H132-G132</f>
        <v>575</v>
      </c>
      <c r="J132" s="1">
        <f>I132*F132/1000</f>
        <v>575</v>
      </c>
    </row>
    <row r="133" spans="1:14" x14ac:dyDescent="0.25">
      <c r="F133" s="14">
        <f>SUM(F131:F132)</f>
        <v>21000</v>
      </c>
      <c r="J133" s="6">
        <f>SUM(J131:J132)</f>
        <v>12075</v>
      </c>
    </row>
    <row r="135" spans="1:14" x14ac:dyDescent="0.25">
      <c r="A135" s="1" t="s">
        <v>390</v>
      </c>
      <c r="B135" s="1" t="s">
        <v>169</v>
      </c>
      <c r="C135" s="1" t="s">
        <v>208</v>
      </c>
      <c r="D135" s="1" t="s">
        <v>168</v>
      </c>
      <c r="E135" s="1"/>
      <c r="F135" s="1" t="s">
        <v>22</v>
      </c>
      <c r="G135" s="1" t="s">
        <v>209</v>
      </c>
      <c r="H135" s="1" t="s">
        <v>210</v>
      </c>
      <c r="I135" s="1" t="s">
        <v>52</v>
      </c>
      <c r="J135" s="1" t="s">
        <v>21</v>
      </c>
      <c r="K135" s="1"/>
      <c r="L135" s="1"/>
      <c r="M135" s="1"/>
      <c r="N135" s="1"/>
    </row>
    <row r="136" spans="1:14" x14ac:dyDescent="0.25">
      <c r="A136" s="1" t="s">
        <v>549</v>
      </c>
      <c r="B136" s="1" t="s">
        <v>550</v>
      </c>
      <c r="C136" s="1">
        <v>5000249709</v>
      </c>
      <c r="D136" s="1">
        <v>105</v>
      </c>
      <c r="E136" s="1"/>
      <c r="F136" s="2">
        <v>10000</v>
      </c>
      <c r="G136" s="1">
        <v>270</v>
      </c>
      <c r="H136" s="1">
        <v>340</v>
      </c>
      <c r="I136" s="1">
        <f t="shared" ref="I136:I141" si="64">H136-G136</f>
        <v>70</v>
      </c>
      <c r="J136" s="1">
        <f>I136*F136/1000</f>
        <v>700</v>
      </c>
      <c r="K136" s="1"/>
      <c r="L136" s="1"/>
      <c r="M136" s="1"/>
      <c r="N136" s="1"/>
    </row>
    <row r="137" spans="1:14" x14ac:dyDescent="0.25">
      <c r="A137" s="1" t="s">
        <v>551</v>
      </c>
      <c r="B137" s="1" t="s">
        <v>362</v>
      </c>
      <c r="C137" s="1">
        <v>5000249041</v>
      </c>
      <c r="D137" s="1">
        <v>105</v>
      </c>
      <c r="E137" s="1"/>
      <c r="F137" s="2">
        <v>33000</v>
      </c>
      <c r="G137" s="1">
        <v>600</v>
      </c>
      <c r="H137" s="1">
        <v>680</v>
      </c>
      <c r="I137" s="1">
        <f t="shared" si="64"/>
        <v>80</v>
      </c>
      <c r="J137" s="1">
        <f t="shared" ref="J137:J138" si="65">I137*F137/1000</f>
        <v>2640</v>
      </c>
      <c r="K137" s="1"/>
      <c r="L137" s="1"/>
      <c r="M137" s="1"/>
      <c r="N137" s="1"/>
    </row>
    <row r="138" spans="1:14" x14ac:dyDescent="0.25">
      <c r="A138" s="1" t="s">
        <v>551</v>
      </c>
      <c r="B138" s="1" t="s">
        <v>362</v>
      </c>
      <c r="C138" s="1">
        <v>5000249043</v>
      </c>
      <c r="D138" s="1">
        <v>105</v>
      </c>
      <c r="E138" s="1"/>
      <c r="F138" s="2">
        <v>9500</v>
      </c>
      <c r="G138" s="1">
        <v>600</v>
      </c>
      <c r="H138" s="1">
        <v>680</v>
      </c>
      <c r="I138" s="1">
        <f t="shared" si="64"/>
        <v>80</v>
      </c>
      <c r="J138" s="1">
        <f t="shared" si="65"/>
        <v>760</v>
      </c>
      <c r="K138" s="1"/>
      <c r="L138" s="1"/>
      <c r="M138" s="1"/>
      <c r="N138" s="1"/>
    </row>
    <row r="139" spans="1:14" x14ac:dyDescent="0.25">
      <c r="A139" s="1" t="s">
        <v>552</v>
      </c>
      <c r="B139" s="1" t="s">
        <v>553</v>
      </c>
      <c r="C139" s="1">
        <v>5000249952</v>
      </c>
      <c r="D139" s="1">
        <v>105</v>
      </c>
      <c r="E139" s="1"/>
      <c r="F139" s="2">
        <v>10200</v>
      </c>
      <c r="G139" s="4">
        <v>390</v>
      </c>
      <c r="H139" s="4">
        <v>480</v>
      </c>
      <c r="I139" s="1">
        <f t="shared" si="64"/>
        <v>90</v>
      </c>
      <c r="J139" s="1">
        <f t="shared" ref="J139" si="66">I139*F139/1000</f>
        <v>918</v>
      </c>
      <c r="K139" s="1"/>
      <c r="L139" s="1"/>
      <c r="M139" s="1"/>
      <c r="N139" s="1"/>
    </row>
    <row r="140" spans="1:14" x14ac:dyDescent="0.25">
      <c r="A140" s="1" t="s">
        <v>552</v>
      </c>
      <c r="B140" s="1" t="s">
        <v>553</v>
      </c>
      <c r="C140" s="1">
        <v>5000249952</v>
      </c>
      <c r="D140" s="1">
        <v>105</v>
      </c>
      <c r="E140" s="1"/>
      <c r="F140" s="2">
        <v>10200</v>
      </c>
      <c r="G140" s="4">
        <v>390</v>
      </c>
      <c r="H140" s="4">
        <v>480</v>
      </c>
      <c r="I140" s="1">
        <f t="shared" si="64"/>
        <v>90</v>
      </c>
      <c r="J140" s="1">
        <f t="shared" ref="J140:J144" si="67">I140*F140/1000</f>
        <v>918</v>
      </c>
      <c r="K140" s="1"/>
      <c r="L140" s="1"/>
      <c r="M140" s="1"/>
      <c r="N140" s="1"/>
    </row>
    <row r="141" spans="1:14" x14ac:dyDescent="0.25">
      <c r="A141" s="1" t="s">
        <v>552</v>
      </c>
      <c r="B141" s="1" t="s">
        <v>553</v>
      </c>
      <c r="C141" s="1">
        <v>5000249952</v>
      </c>
      <c r="D141" s="1">
        <v>105</v>
      </c>
      <c r="E141" s="1"/>
      <c r="F141" s="2">
        <v>7350</v>
      </c>
      <c r="G141" s="4">
        <v>390</v>
      </c>
      <c r="H141" s="4">
        <v>480</v>
      </c>
      <c r="I141" s="1">
        <f t="shared" si="64"/>
        <v>90</v>
      </c>
      <c r="J141" s="1">
        <f t="shared" si="67"/>
        <v>661.5</v>
      </c>
      <c r="K141" s="1"/>
      <c r="L141" s="1"/>
      <c r="M141" s="1"/>
      <c r="N141" s="1"/>
    </row>
    <row r="142" spans="1:14" x14ac:dyDescent="0.25">
      <c r="A142" s="1" t="s">
        <v>552</v>
      </c>
      <c r="B142" s="1" t="s">
        <v>554</v>
      </c>
      <c r="C142" s="1">
        <v>5000249952</v>
      </c>
      <c r="D142" s="1">
        <v>105</v>
      </c>
      <c r="E142" s="2">
        <f>F142</f>
        <v>36000</v>
      </c>
      <c r="F142" s="2">
        <v>36000</v>
      </c>
      <c r="G142" s="1">
        <v>370</v>
      </c>
      <c r="H142" s="1">
        <v>460</v>
      </c>
      <c r="I142" s="1">
        <f t="shared" ref="I142:I144" si="68">H142-G142</f>
        <v>90</v>
      </c>
      <c r="J142" s="1">
        <f t="shared" si="67"/>
        <v>3240</v>
      </c>
      <c r="K142" s="4">
        <v>260</v>
      </c>
      <c r="L142" s="4">
        <v>370</v>
      </c>
      <c r="M142" s="1">
        <f t="shared" ref="M142:M144" si="69">L142-K142</f>
        <v>110</v>
      </c>
      <c r="N142" s="1">
        <f t="shared" ref="N142:N144" si="70">M142*F142/1000</f>
        <v>3960</v>
      </c>
    </row>
    <row r="143" spans="1:14" x14ac:dyDescent="0.25">
      <c r="A143" s="1" t="s">
        <v>551</v>
      </c>
      <c r="B143" s="1" t="s">
        <v>554</v>
      </c>
      <c r="C143" s="1">
        <v>5000249042</v>
      </c>
      <c r="D143" s="1">
        <v>105</v>
      </c>
      <c r="E143" s="2">
        <f t="shared" ref="E143:E151" si="71">F143</f>
        <v>47000</v>
      </c>
      <c r="F143" s="2">
        <v>47000</v>
      </c>
      <c r="G143" s="1">
        <v>370</v>
      </c>
      <c r="H143" s="1">
        <v>460</v>
      </c>
      <c r="I143" s="1">
        <f t="shared" si="68"/>
        <v>90</v>
      </c>
      <c r="J143" s="1">
        <f t="shared" si="67"/>
        <v>4230</v>
      </c>
      <c r="K143" s="4">
        <v>260</v>
      </c>
      <c r="L143" s="4">
        <v>370</v>
      </c>
      <c r="M143" s="1">
        <f t="shared" si="69"/>
        <v>110</v>
      </c>
      <c r="N143" s="1">
        <f t="shared" si="70"/>
        <v>5170</v>
      </c>
    </row>
    <row r="144" spans="1:14" x14ac:dyDescent="0.25">
      <c r="A144" s="1" t="s">
        <v>551</v>
      </c>
      <c r="B144" s="1" t="s">
        <v>554</v>
      </c>
      <c r="C144" s="1">
        <v>5000249043</v>
      </c>
      <c r="D144" s="1">
        <v>105</v>
      </c>
      <c r="E144" s="2">
        <f t="shared" si="71"/>
        <v>52500</v>
      </c>
      <c r="F144" s="2">
        <v>52500</v>
      </c>
      <c r="G144" s="1">
        <v>370</v>
      </c>
      <c r="H144" s="1">
        <v>460</v>
      </c>
      <c r="I144" s="1">
        <f t="shared" si="68"/>
        <v>90</v>
      </c>
      <c r="J144" s="1">
        <f t="shared" si="67"/>
        <v>4725</v>
      </c>
      <c r="K144" s="4">
        <v>260</v>
      </c>
      <c r="L144" s="4">
        <v>370</v>
      </c>
      <c r="M144" s="1">
        <f t="shared" si="69"/>
        <v>110</v>
      </c>
      <c r="N144" s="1">
        <f t="shared" si="70"/>
        <v>5775</v>
      </c>
    </row>
    <row r="145" spans="1:14" x14ac:dyDescent="0.25">
      <c r="A145" s="1" t="s">
        <v>541</v>
      </c>
      <c r="B145" s="1" t="s">
        <v>554</v>
      </c>
      <c r="C145" s="1">
        <v>5000245083</v>
      </c>
      <c r="D145" s="1">
        <v>105</v>
      </c>
      <c r="E145" s="2">
        <f t="shared" si="71"/>
        <v>64400</v>
      </c>
      <c r="F145" s="2">
        <v>64400</v>
      </c>
      <c r="G145" s="1">
        <v>370</v>
      </c>
      <c r="H145" s="1">
        <v>460</v>
      </c>
      <c r="I145" s="1">
        <f>H145-G145</f>
        <v>90</v>
      </c>
      <c r="J145" s="1">
        <f>I145*F145/1000</f>
        <v>5796</v>
      </c>
      <c r="K145" s="4">
        <v>260</v>
      </c>
      <c r="L145" s="4">
        <v>370</v>
      </c>
      <c r="M145" s="1">
        <f>L145-K145</f>
        <v>110</v>
      </c>
      <c r="N145" s="1">
        <f>M145*F145/1000</f>
        <v>7084</v>
      </c>
    </row>
    <row r="146" spans="1:14" x14ac:dyDescent="0.25">
      <c r="A146" s="1" t="s">
        <v>541</v>
      </c>
      <c r="B146" s="1" t="s">
        <v>554</v>
      </c>
      <c r="C146" s="1">
        <v>5000245083</v>
      </c>
      <c r="D146" s="1">
        <v>105</v>
      </c>
      <c r="E146" s="2">
        <f t="shared" si="71"/>
        <v>1600</v>
      </c>
      <c r="F146" s="2">
        <v>1600</v>
      </c>
      <c r="G146" s="1">
        <v>370</v>
      </c>
      <c r="H146" s="1">
        <v>460</v>
      </c>
      <c r="I146" s="1">
        <f>H146-G146</f>
        <v>90</v>
      </c>
      <c r="J146" s="1">
        <f>I146*F146/1000</f>
        <v>144</v>
      </c>
      <c r="K146" s="4">
        <v>260</v>
      </c>
      <c r="L146" s="4">
        <v>370</v>
      </c>
      <c r="M146" s="1">
        <f>L146-K146</f>
        <v>110</v>
      </c>
      <c r="N146" s="1">
        <f>M146*F146/1000</f>
        <v>176</v>
      </c>
    </row>
    <row r="147" spans="1:14" x14ac:dyDescent="0.25">
      <c r="A147" s="1" t="s">
        <v>551</v>
      </c>
      <c r="B147" s="1" t="s">
        <v>555</v>
      </c>
      <c r="C147" s="1">
        <v>5000249041</v>
      </c>
      <c r="D147" s="1">
        <v>105</v>
      </c>
      <c r="E147" s="2">
        <f t="shared" si="71"/>
        <v>13450</v>
      </c>
      <c r="F147" s="2">
        <v>13450</v>
      </c>
      <c r="G147" s="1">
        <v>500</v>
      </c>
      <c r="H147" s="1">
        <v>850</v>
      </c>
      <c r="I147" s="1">
        <f>H147-G147</f>
        <v>350</v>
      </c>
      <c r="J147" s="1">
        <f>I147*F147/1000</f>
        <v>4707.5</v>
      </c>
      <c r="K147" s="4">
        <v>460</v>
      </c>
      <c r="L147" s="4">
        <v>500</v>
      </c>
      <c r="M147" s="1">
        <f>L147-K147</f>
        <v>40</v>
      </c>
      <c r="N147" s="1">
        <f>M147*F147/1000</f>
        <v>538</v>
      </c>
    </row>
    <row r="148" spans="1:14" x14ac:dyDescent="0.25">
      <c r="A148" s="1" t="s">
        <v>551</v>
      </c>
      <c r="B148" s="1" t="s">
        <v>555</v>
      </c>
      <c r="C148" s="1">
        <v>5000249042</v>
      </c>
      <c r="D148" s="1">
        <v>105</v>
      </c>
      <c r="E148" s="2">
        <f t="shared" si="71"/>
        <v>106500</v>
      </c>
      <c r="F148" s="2">
        <v>106500</v>
      </c>
      <c r="G148" s="1">
        <v>500</v>
      </c>
      <c r="H148" s="1">
        <v>850</v>
      </c>
      <c r="I148" s="1">
        <f t="shared" ref="I148:I151" si="72">H148-G148</f>
        <v>350</v>
      </c>
      <c r="J148" s="1">
        <f t="shared" ref="J148:J151" si="73">I148*F148/1000</f>
        <v>37275</v>
      </c>
      <c r="K148" s="4">
        <v>460</v>
      </c>
      <c r="L148" s="4">
        <v>500</v>
      </c>
      <c r="M148" s="1">
        <f t="shared" ref="M148:M152" si="74">L148-K148</f>
        <v>40</v>
      </c>
      <c r="N148" s="1">
        <f t="shared" ref="N148:N151" si="75">M148*F148/1000</f>
        <v>4260</v>
      </c>
    </row>
    <row r="149" spans="1:14" x14ac:dyDescent="0.25">
      <c r="A149" s="1" t="s">
        <v>551</v>
      </c>
      <c r="B149" s="1" t="s">
        <v>555</v>
      </c>
      <c r="C149" s="1">
        <v>5000249042</v>
      </c>
      <c r="D149" s="1">
        <v>105</v>
      </c>
      <c r="E149" s="2">
        <f t="shared" si="71"/>
        <v>1500</v>
      </c>
      <c r="F149" s="2">
        <v>1500</v>
      </c>
      <c r="G149" s="1">
        <v>500</v>
      </c>
      <c r="H149" s="1">
        <v>850</v>
      </c>
      <c r="I149" s="1">
        <f t="shared" si="72"/>
        <v>350</v>
      </c>
      <c r="J149" s="1">
        <f t="shared" si="73"/>
        <v>525</v>
      </c>
      <c r="K149" s="4">
        <v>460</v>
      </c>
      <c r="L149" s="4">
        <v>500</v>
      </c>
      <c r="M149" s="1">
        <f t="shared" si="74"/>
        <v>40</v>
      </c>
      <c r="N149" s="1">
        <f t="shared" si="75"/>
        <v>60</v>
      </c>
    </row>
    <row r="150" spans="1:14" x14ac:dyDescent="0.25">
      <c r="A150" s="1" t="s">
        <v>551</v>
      </c>
      <c r="B150" s="1" t="s">
        <v>555</v>
      </c>
      <c r="C150" s="1">
        <v>5000249043</v>
      </c>
      <c r="D150" s="1">
        <v>105</v>
      </c>
      <c r="E150" s="2">
        <f t="shared" si="71"/>
        <v>27000</v>
      </c>
      <c r="F150" s="2">
        <v>27000</v>
      </c>
      <c r="G150" s="1">
        <v>500</v>
      </c>
      <c r="H150" s="1">
        <v>850</v>
      </c>
      <c r="I150" s="1">
        <f t="shared" si="72"/>
        <v>350</v>
      </c>
      <c r="J150" s="1">
        <f t="shared" si="73"/>
        <v>9450</v>
      </c>
      <c r="K150" s="4">
        <v>460</v>
      </c>
      <c r="L150" s="4">
        <v>500</v>
      </c>
      <c r="M150" s="1">
        <f t="shared" si="74"/>
        <v>40</v>
      </c>
      <c r="N150" s="1">
        <f t="shared" si="75"/>
        <v>1080</v>
      </c>
    </row>
    <row r="151" spans="1:14" x14ac:dyDescent="0.25">
      <c r="A151" s="1" t="s">
        <v>541</v>
      </c>
      <c r="B151" s="1" t="s">
        <v>555</v>
      </c>
      <c r="C151" s="1">
        <v>5000245084</v>
      </c>
      <c r="D151" s="1">
        <v>105</v>
      </c>
      <c r="E151" s="2">
        <f t="shared" si="71"/>
        <v>110500</v>
      </c>
      <c r="F151" s="2">
        <v>110500</v>
      </c>
      <c r="G151" s="1">
        <v>500</v>
      </c>
      <c r="H151" s="1">
        <v>850</v>
      </c>
      <c r="I151" s="1">
        <f t="shared" si="72"/>
        <v>350</v>
      </c>
      <c r="J151" s="1">
        <f t="shared" si="73"/>
        <v>38675</v>
      </c>
      <c r="K151" s="4">
        <v>460</v>
      </c>
      <c r="L151" s="4">
        <v>500</v>
      </c>
      <c r="M151" s="1">
        <f t="shared" si="74"/>
        <v>40</v>
      </c>
      <c r="N151" s="1">
        <f t="shared" si="75"/>
        <v>4420</v>
      </c>
    </row>
    <row r="152" spans="1:14" x14ac:dyDescent="0.25">
      <c r="A152" s="1" t="s">
        <v>496</v>
      </c>
      <c r="B152" s="1" t="s">
        <v>503</v>
      </c>
      <c r="C152" s="1">
        <v>5000243865</v>
      </c>
      <c r="D152" s="1">
        <v>105</v>
      </c>
      <c r="E152" s="2">
        <v>26000</v>
      </c>
      <c r="F152" s="1"/>
      <c r="G152" s="1"/>
      <c r="H152" s="1"/>
      <c r="I152" s="1"/>
      <c r="J152" s="1"/>
      <c r="K152" s="1">
        <v>570</v>
      </c>
      <c r="L152" s="1">
        <v>660</v>
      </c>
      <c r="M152" s="1">
        <f t="shared" si="74"/>
        <v>90</v>
      </c>
      <c r="N152" s="1">
        <f>M152*26</f>
        <v>2340</v>
      </c>
    </row>
    <row r="153" spans="1:14" x14ac:dyDescent="0.25">
      <c r="A153" s="13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2">
        <f>SUM(E142:E153)</f>
        <v>486450</v>
      </c>
      <c r="F154" s="33">
        <f>SUM(F136:F152)</f>
        <v>540700</v>
      </c>
      <c r="G154" s="1"/>
      <c r="H154" s="1"/>
      <c r="I154" s="1" t="s">
        <v>21</v>
      </c>
      <c r="J154" s="5">
        <f>SUM(J136:J152)</f>
        <v>115365</v>
      </c>
      <c r="K154" s="1"/>
      <c r="L154" s="1"/>
      <c r="M154" s="1"/>
      <c r="N154" s="1">
        <f>SUM(N136:N152)</f>
        <v>34863</v>
      </c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8"/>
      <c r="N155" s="8"/>
    </row>
    <row r="156" spans="1:14" x14ac:dyDescent="0.25">
      <c r="A156" s="1" t="s">
        <v>390</v>
      </c>
      <c r="B156" s="1" t="s">
        <v>169</v>
      </c>
      <c r="C156" s="1" t="s">
        <v>208</v>
      </c>
      <c r="D156" s="1" t="s">
        <v>168</v>
      </c>
      <c r="E156" s="1"/>
      <c r="F156" s="1" t="s">
        <v>22</v>
      </c>
      <c r="G156" s="1" t="s">
        <v>209</v>
      </c>
      <c r="H156" s="1" t="s">
        <v>210</v>
      </c>
      <c r="I156" s="1" t="s">
        <v>52</v>
      </c>
      <c r="J156" s="1" t="s">
        <v>21</v>
      </c>
      <c r="K156" s="113"/>
      <c r="L156" s="1"/>
      <c r="M156" s="8"/>
      <c r="N156" s="8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4" x14ac:dyDescent="0.25">
      <c r="A158" s="1" t="s">
        <v>556</v>
      </c>
      <c r="B158" s="1" t="s">
        <v>211</v>
      </c>
      <c r="C158" s="1">
        <v>5000249271</v>
      </c>
      <c r="D158" s="1">
        <v>105</v>
      </c>
      <c r="E158" s="1"/>
      <c r="F158" s="1">
        <v>11</v>
      </c>
      <c r="G158" s="1">
        <v>127</v>
      </c>
      <c r="H158" s="1">
        <v>133.80000000000001</v>
      </c>
      <c r="I158" s="1">
        <f>H158-G158</f>
        <v>6.8000000000000114</v>
      </c>
      <c r="J158" s="1">
        <f>I158*F158</f>
        <v>74.800000000000125</v>
      </c>
    </row>
    <row r="159" spans="1:14" x14ac:dyDescent="0.25">
      <c r="A159" s="1" t="s">
        <v>556</v>
      </c>
      <c r="B159" s="1" t="s">
        <v>211</v>
      </c>
      <c r="C159" s="1">
        <v>5000249271</v>
      </c>
      <c r="D159" s="1">
        <v>105</v>
      </c>
      <c r="E159" s="1"/>
      <c r="F159" s="1">
        <v>500.2</v>
      </c>
      <c r="G159" s="1">
        <v>127</v>
      </c>
      <c r="H159" s="1">
        <v>133.80000000000001</v>
      </c>
      <c r="I159" s="1">
        <f>H159-G159</f>
        <v>6.8000000000000114</v>
      </c>
      <c r="J159" s="1">
        <f>I159*F159</f>
        <v>3401.3600000000056</v>
      </c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4" x14ac:dyDescent="0.25">
      <c r="A161" s="1"/>
      <c r="B161" s="1"/>
      <c r="C161" s="1"/>
      <c r="D161" s="1"/>
      <c r="E161" s="1"/>
      <c r="F161" s="5">
        <f>SUM(F158:F160)</f>
        <v>511.2</v>
      </c>
      <c r="G161" s="1"/>
      <c r="H161" s="1"/>
      <c r="I161" s="1" t="s">
        <v>58</v>
      </c>
      <c r="J161" s="1">
        <f>SUM(J158:J160)</f>
        <v>3476.1600000000058</v>
      </c>
    </row>
    <row r="164" spans="1:14" x14ac:dyDescent="0.25">
      <c r="A164" s="1" t="s">
        <v>390</v>
      </c>
      <c r="B164" s="1" t="s">
        <v>169</v>
      </c>
      <c r="C164" s="1" t="s">
        <v>208</v>
      </c>
      <c r="D164" s="1" t="s">
        <v>168</v>
      </c>
      <c r="E164" s="1"/>
      <c r="F164" s="1" t="s">
        <v>22</v>
      </c>
      <c r="G164" s="1" t="s">
        <v>512</v>
      </c>
      <c r="H164" s="1" t="s">
        <v>513</v>
      </c>
      <c r="I164" s="1" t="s">
        <v>514</v>
      </c>
      <c r="J164" s="1" t="s">
        <v>515</v>
      </c>
      <c r="K164" s="1" t="s">
        <v>516</v>
      </c>
      <c r="L164" s="1" t="s">
        <v>517</v>
      </c>
      <c r="M164" s="1" t="s">
        <v>518</v>
      </c>
      <c r="N164" s="1" t="s">
        <v>504</v>
      </c>
    </row>
    <row r="165" spans="1:14" x14ac:dyDescent="0.25">
      <c r="A165" s="1" t="s">
        <v>529</v>
      </c>
      <c r="B165" s="1" t="s">
        <v>510</v>
      </c>
      <c r="C165" s="1">
        <v>5000248069</v>
      </c>
      <c r="D165" s="1">
        <v>105</v>
      </c>
      <c r="E165" s="1"/>
      <c r="F165" s="40">
        <v>170.6</v>
      </c>
      <c r="G165" s="1">
        <v>8.1999999999999993</v>
      </c>
      <c r="H165" s="1">
        <v>6.6</v>
      </c>
      <c r="I165" s="1">
        <f>F165/G165</f>
        <v>20.804878048780488</v>
      </c>
      <c r="J165" s="1">
        <f>F165/H165</f>
        <v>25.848484848484848</v>
      </c>
      <c r="K165" s="1">
        <f>J165-I165</f>
        <v>5.0436067997043601</v>
      </c>
      <c r="L165" s="1">
        <f>K165*G165</f>
        <v>41.357575757575752</v>
      </c>
      <c r="M165" s="1">
        <v>171</v>
      </c>
      <c r="N165" s="127">
        <f>M165*L165</f>
        <v>7072.1454545454535</v>
      </c>
    </row>
    <row r="166" spans="1:14" x14ac:dyDescent="0.25">
      <c r="A166" s="1" t="s">
        <v>529</v>
      </c>
      <c r="B166" s="1" t="s">
        <v>510</v>
      </c>
      <c r="C166" s="1">
        <v>5000248082</v>
      </c>
      <c r="D166" s="1">
        <v>105</v>
      </c>
      <c r="E166" s="1"/>
      <c r="F166" s="40">
        <v>220.6</v>
      </c>
      <c r="G166" s="1">
        <v>8.1999999999999993</v>
      </c>
      <c r="H166" s="1">
        <v>6.6</v>
      </c>
      <c r="I166" s="1">
        <f t="shared" ref="I166:I170" si="76">F166/G166</f>
        <v>26.902439024390244</v>
      </c>
      <c r="J166" s="1">
        <f t="shared" ref="J166:J170" si="77">F166/H166</f>
        <v>33.424242424242422</v>
      </c>
      <c r="K166" s="1">
        <f t="shared" ref="K166:K170" si="78">J166-I166</f>
        <v>6.5218033998521783</v>
      </c>
      <c r="L166" s="1">
        <f t="shared" ref="L166:L170" si="79">K166*G166</f>
        <v>53.478787878787855</v>
      </c>
      <c r="M166" s="1">
        <v>171</v>
      </c>
      <c r="N166" s="127">
        <f t="shared" ref="N166:N170" si="80">M166*L166</f>
        <v>9144.8727272727228</v>
      </c>
    </row>
    <row r="167" spans="1:14" x14ac:dyDescent="0.25">
      <c r="A167" s="1" t="s">
        <v>535</v>
      </c>
      <c r="B167" s="1" t="s">
        <v>510</v>
      </c>
      <c r="C167" s="1">
        <v>5000246824</v>
      </c>
      <c r="D167" s="1">
        <v>105</v>
      </c>
      <c r="E167" s="1"/>
      <c r="F167" s="40">
        <v>324</v>
      </c>
      <c r="G167" s="1">
        <v>8.1999999999999993</v>
      </c>
      <c r="H167" s="1">
        <v>6.6</v>
      </c>
      <c r="I167" s="1">
        <f t="shared" si="76"/>
        <v>39.512195121951223</v>
      </c>
      <c r="J167" s="1">
        <f t="shared" si="77"/>
        <v>49.090909090909093</v>
      </c>
      <c r="K167" s="1">
        <f t="shared" si="78"/>
        <v>9.5787139689578709</v>
      </c>
      <c r="L167" s="1">
        <f t="shared" si="79"/>
        <v>78.545454545454533</v>
      </c>
      <c r="M167" s="1">
        <v>171</v>
      </c>
      <c r="N167" s="127">
        <f t="shared" si="80"/>
        <v>13431.272727272724</v>
      </c>
    </row>
    <row r="168" spans="1:14" x14ac:dyDescent="0.25">
      <c r="A168" s="1" t="s">
        <v>529</v>
      </c>
      <c r="B168" s="1" t="s">
        <v>511</v>
      </c>
      <c r="C168" s="1">
        <v>5000248081</v>
      </c>
      <c r="D168" s="1">
        <v>105</v>
      </c>
      <c r="E168" s="1"/>
      <c r="F168" s="40">
        <v>53</v>
      </c>
      <c r="G168" s="1">
        <v>8.1999999999999993</v>
      </c>
      <c r="H168" s="1">
        <v>6.6</v>
      </c>
      <c r="I168" s="1">
        <f t="shared" si="76"/>
        <v>6.4634146341463419</v>
      </c>
      <c r="J168" s="1">
        <f t="shared" si="77"/>
        <v>8.0303030303030312</v>
      </c>
      <c r="K168" s="1">
        <f t="shared" si="78"/>
        <v>1.5668883961566893</v>
      </c>
      <c r="L168" s="1">
        <f t="shared" si="79"/>
        <v>12.848484848484851</v>
      </c>
      <c r="M168" s="1">
        <v>171</v>
      </c>
      <c r="N168" s="127">
        <f t="shared" si="80"/>
        <v>2197.0909090909095</v>
      </c>
    </row>
    <row r="169" spans="1:14" x14ac:dyDescent="0.25">
      <c r="A169" s="1" t="s">
        <v>529</v>
      </c>
      <c r="B169" s="1" t="s">
        <v>511</v>
      </c>
      <c r="C169" s="1">
        <v>5000248069</v>
      </c>
      <c r="D169" s="1">
        <v>105</v>
      </c>
      <c r="E169" s="1"/>
      <c r="F169" s="40">
        <v>567.6</v>
      </c>
      <c r="G169" s="1">
        <v>8.1999999999999993</v>
      </c>
      <c r="H169" s="1">
        <v>6.6</v>
      </c>
      <c r="I169" s="1">
        <f t="shared" si="76"/>
        <v>69.219512195121965</v>
      </c>
      <c r="J169" s="1">
        <f t="shared" si="77"/>
        <v>86.000000000000014</v>
      </c>
      <c r="K169" s="1">
        <f t="shared" si="78"/>
        <v>16.780487804878049</v>
      </c>
      <c r="L169" s="1">
        <f t="shared" si="79"/>
        <v>137.6</v>
      </c>
      <c r="M169" s="1">
        <v>171</v>
      </c>
      <c r="N169" s="127">
        <f t="shared" si="80"/>
        <v>23529.599999999999</v>
      </c>
    </row>
    <row r="170" spans="1:14" x14ac:dyDescent="0.25">
      <c r="A170" s="1" t="s">
        <v>537</v>
      </c>
      <c r="B170" s="1" t="s">
        <v>511</v>
      </c>
      <c r="C170" s="1">
        <v>5000246435</v>
      </c>
      <c r="D170" s="1">
        <v>105</v>
      </c>
      <c r="E170" s="1"/>
      <c r="F170" s="40">
        <v>348.3</v>
      </c>
      <c r="G170" s="1">
        <v>8.1999999999999993</v>
      </c>
      <c r="H170" s="1">
        <v>6.6</v>
      </c>
      <c r="I170" s="1">
        <f t="shared" si="76"/>
        <v>42.475609756097569</v>
      </c>
      <c r="J170" s="1">
        <f t="shared" si="77"/>
        <v>52.77272727272728</v>
      </c>
      <c r="K170" s="1">
        <f t="shared" si="78"/>
        <v>10.297117516629712</v>
      </c>
      <c r="L170" s="1">
        <f t="shared" si="79"/>
        <v>84.436363636363623</v>
      </c>
      <c r="M170" s="1">
        <v>171</v>
      </c>
      <c r="N170" s="127">
        <f t="shared" si="80"/>
        <v>14438.618181818179</v>
      </c>
    </row>
    <row r="171" spans="1:14" x14ac:dyDescent="0.25">
      <c r="A171" s="1"/>
      <c r="B171" s="1"/>
      <c r="C171" s="1"/>
      <c r="D171" s="1"/>
      <c r="E171" s="1"/>
      <c r="F171" s="5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5">
        <f>SUM(F165:F171)</f>
        <v>1684.1000000000001</v>
      </c>
      <c r="G172" s="1"/>
      <c r="H172" s="1"/>
      <c r="I172" s="1"/>
      <c r="J172" s="1"/>
      <c r="K172" s="1"/>
      <c r="L172" s="1"/>
      <c r="M172" s="1" t="s">
        <v>58</v>
      </c>
      <c r="N172" s="127">
        <f>SUM(N165:N170)</f>
        <v>69813.599999999991</v>
      </c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8" spans="1:12" x14ac:dyDescent="0.25">
      <c r="A178" t="s">
        <v>557</v>
      </c>
    </row>
    <row r="180" spans="1:12" x14ac:dyDescent="0.25">
      <c r="B180" s="1" t="s">
        <v>169</v>
      </c>
      <c r="C180" s="1" t="s">
        <v>208</v>
      </c>
      <c r="D180" s="1" t="s">
        <v>168</v>
      </c>
      <c r="E180" s="1"/>
      <c r="F180" s="1" t="s">
        <v>22</v>
      </c>
      <c r="G180" s="4" t="s">
        <v>192</v>
      </c>
      <c r="H180" s="4" t="s">
        <v>560</v>
      </c>
      <c r="I180" s="4" t="s">
        <v>52</v>
      </c>
      <c r="J180" s="4" t="s">
        <v>21</v>
      </c>
    </row>
    <row r="181" spans="1:12" x14ac:dyDescent="0.25">
      <c r="B181" s="1" t="s">
        <v>558</v>
      </c>
      <c r="C181" s="1"/>
      <c r="D181" s="1" t="s">
        <v>559</v>
      </c>
      <c r="E181" s="1"/>
      <c r="F181" s="1">
        <v>189000</v>
      </c>
      <c r="G181" s="1">
        <v>6798</v>
      </c>
      <c r="H181" s="1">
        <v>6313</v>
      </c>
      <c r="I181" s="1">
        <f>G181-H181</f>
        <v>485</v>
      </c>
      <c r="J181" s="1">
        <f>I181*F181/1000</f>
        <v>91665</v>
      </c>
    </row>
    <row r="183" spans="1:12" x14ac:dyDescent="0.25">
      <c r="A183" t="s">
        <v>535</v>
      </c>
      <c r="B183">
        <v>3000034535</v>
      </c>
      <c r="C183" t="s">
        <v>561</v>
      </c>
      <c r="D183" t="s">
        <v>562</v>
      </c>
      <c r="F183">
        <v>1002760</v>
      </c>
      <c r="G183" t="s">
        <v>563</v>
      </c>
      <c r="H183" t="s">
        <v>564</v>
      </c>
      <c r="I183" s="14">
        <v>13000</v>
      </c>
      <c r="J183" t="s">
        <v>0</v>
      </c>
      <c r="K183">
        <v>0</v>
      </c>
      <c r="L183" t="s">
        <v>0</v>
      </c>
    </row>
    <row r="184" spans="1:12" x14ac:dyDescent="0.25">
      <c r="A184" t="s">
        <v>565</v>
      </c>
      <c r="B184">
        <v>3000033529</v>
      </c>
      <c r="C184" t="s">
        <v>566</v>
      </c>
      <c r="D184" t="s">
        <v>562</v>
      </c>
      <c r="F184">
        <v>1002760</v>
      </c>
      <c r="G184" t="s">
        <v>563</v>
      </c>
      <c r="H184" t="s">
        <v>564</v>
      </c>
      <c r="I184" s="14">
        <v>303000</v>
      </c>
      <c r="J184" t="s">
        <v>0</v>
      </c>
      <c r="K184">
        <v>0</v>
      </c>
      <c r="L184" t="s">
        <v>0</v>
      </c>
    </row>
    <row r="185" spans="1:12" x14ac:dyDescent="0.25">
      <c r="I185" s="109">
        <f>SUM(I183:I184)</f>
        <v>316000</v>
      </c>
      <c r="J185">
        <f>I185/1000</f>
        <v>316</v>
      </c>
      <c r="K185">
        <f>44.5</f>
        <v>44.5</v>
      </c>
      <c r="L185">
        <f>J185*K185</f>
        <v>14062</v>
      </c>
    </row>
    <row r="187" spans="1:12" x14ac:dyDescent="0.25">
      <c r="B187" t="s">
        <v>500</v>
      </c>
      <c r="J187" s="134">
        <f>J181+N172+J161+N154+J154+J133+J127+I109+M109+I32+O16+I16+L185</f>
        <v>583211.8250262572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opLeftCell="A8" zoomScale="86" zoomScaleNormal="86" workbookViewId="0">
      <selection activeCell="A15" sqref="A15"/>
    </sheetView>
  </sheetViews>
  <sheetFormatPr defaultColWidth="19.7109375" defaultRowHeight="15" x14ac:dyDescent="0.25"/>
  <cols>
    <col min="2" max="2" width="21.5703125" bestFit="1" customWidth="1"/>
    <col min="3" max="3" width="34.5703125" style="29" customWidth="1"/>
    <col min="4" max="4" width="13.85546875" bestFit="1" customWidth="1"/>
    <col min="5" max="5" width="14.140625" customWidth="1"/>
    <col min="6" max="7" width="20.42578125" bestFit="1" customWidth="1"/>
    <col min="8" max="8" width="15.140625" customWidth="1"/>
    <col min="9" max="9" width="22" bestFit="1" customWidth="1"/>
    <col min="10" max="10" width="10.85546875" customWidth="1"/>
  </cols>
  <sheetData>
    <row r="2" spans="2:10" ht="21" x14ac:dyDescent="0.35">
      <c r="B2" s="71" t="s">
        <v>526</v>
      </c>
    </row>
    <row r="3" spans="2:10" ht="27" x14ac:dyDescent="0.25">
      <c r="B3" s="27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x14ac:dyDescent="0.25">
      <c r="B4" s="30" t="s">
        <v>95</v>
      </c>
      <c r="C4" s="65" t="s">
        <v>27</v>
      </c>
      <c r="D4" s="105">
        <f>'August 2016'!G26</f>
        <v>11416.700000000003</v>
      </c>
      <c r="E4" s="15" t="s">
        <v>23</v>
      </c>
      <c r="F4" s="15" t="s">
        <v>417</v>
      </c>
      <c r="G4" s="104"/>
      <c r="H4" s="104">
        <f>'August 2016'!N52</f>
        <v>259026.68261605769</v>
      </c>
      <c r="I4" s="92" t="s">
        <v>40</v>
      </c>
      <c r="J4" s="23" t="s">
        <v>48</v>
      </c>
    </row>
    <row r="5" spans="2:10" ht="30" x14ac:dyDescent="0.25">
      <c r="B5" s="131" t="s">
        <v>524</v>
      </c>
      <c r="C5" s="65" t="s">
        <v>99</v>
      </c>
      <c r="D5" s="105">
        <f>'August 2016'!G127</f>
        <v>2562849</v>
      </c>
      <c r="E5" s="15" t="s">
        <v>39</v>
      </c>
      <c r="F5" s="15" t="s">
        <v>100</v>
      </c>
      <c r="G5" s="104"/>
      <c r="H5" s="104">
        <f>'August 2016'!L125</f>
        <v>40422.579999999929</v>
      </c>
      <c r="I5" s="92" t="s">
        <v>101</v>
      </c>
      <c r="J5" s="23" t="s">
        <v>48</v>
      </c>
    </row>
    <row r="6" spans="2:10" ht="27" x14ac:dyDescent="0.25">
      <c r="B6" s="131" t="s">
        <v>569</v>
      </c>
      <c r="C6" s="65" t="s">
        <v>99</v>
      </c>
      <c r="D6" s="105">
        <f>'August 2016'!H127</f>
        <v>1053000</v>
      </c>
      <c r="E6" s="15" t="s">
        <v>39</v>
      </c>
      <c r="F6" s="15" t="s">
        <v>100</v>
      </c>
      <c r="G6" s="104">
        <f>'August 2016'!P125</f>
        <v>5155.2000000000035</v>
      </c>
      <c r="H6" s="104">
        <f>'August 2016'!L126</f>
        <v>0</v>
      </c>
      <c r="I6" s="92" t="s">
        <v>101</v>
      </c>
      <c r="J6" s="23" t="s">
        <v>48</v>
      </c>
    </row>
    <row r="7" spans="2:10" ht="27" x14ac:dyDescent="0.25">
      <c r="B7" s="30" t="s">
        <v>98</v>
      </c>
      <c r="C7" s="65" t="s">
        <v>102</v>
      </c>
      <c r="D7" s="105">
        <f>'August 2016'!G170</f>
        <v>23544.94</v>
      </c>
      <c r="E7" s="15" t="s">
        <v>23</v>
      </c>
      <c r="F7" s="15" t="s">
        <v>103</v>
      </c>
      <c r="G7" s="104"/>
      <c r="H7" s="104">
        <f>'August 2016'!M170</f>
        <v>59632.800999999949</v>
      </c>
      <c r="I7" s="92" t="s">
        <v>101</v>
      </c>
      <c r="J7" s="23" t="s">
        <v>48</v>
      </c>
    </row>
    <row r="8" spans="2:10" ht="27" x14ac:dyDescent="0.25">
      <c r="B8" s="30" t="s">
        <v>308</v>
      </c>
      <c r="C8" s="72" t="s">
        <v>30</v>
      </c>
      <c r="D8" s="105">
        <f>'August 2016'!F209</f>
        <v>2756.2000000000003</v>
      </c>
      <c r="E8" s="15" t="s">
        <v>23</v>
      </c>
      <c r="F8" s="15" t="s">
        <v>307</v>
      </c>
      <c r="G8" s="104">
        <f>'August 2016'!L209</f>
        <v>17978.692000000028</v>
      </c>
      <c r="H8" s="104"/>
      <c r="I8" s="92" t="s">
        <v>97</v>
      </c>
      <c r="J8" s="23" t="s">
        <v>48</v>
      </c>
    </row>
    <row r="9" spans="2:10" x14ac:dyDescent="0.25">
      <c r="B9" s="30" t="s">
        <v>299</v>
      </c>
      <c r="C9" s="65" t="s">
        <v>418</v>
      </c>
      <c r="D9" s="105">
        <f>'July 2016'!F123</f>
        <v>67934</v>
      </c>
      <c r="E9" s="15" t="s">
        <v>29</v>
      </c>
      <c r="F9" s="15" t="s">
        <v>419</v>
      </c>
      <c r="G9" s="104">
        <f>'August 2016'!L180</f>
        <v>14600</v>
      </c>
      <c r="H9" s="104"/>
      <c r="I9" s="92" t="s">
        <v>301</v>
      </c>
      <c r="J9" s="23" t="s">
        <v>48</v>
      </c>
    </row>
    <row r="10" spans="2:10" ht="30" x14ac:dyDescent="0.25">
      <c r="B10" s="62" t="s">
        <v>522</v>
      </c>
      <c r="C10" s="62" t="s">
        <v>523</v>
      </c>
      <c r="D10" s="84">
        <f>'August 2016'!F196</f>
        <v>387200</v>
      </c>
      <c r="E10" s="56" t="s">
        <v>29</v>
      </c>
      <c r="F10" s="56" t="s">
        <v>525</v>
      </c>
      <c r="G10" s="84">
        <f>'August 2016'!L196</f>
        <v>32816</v>
      </c>
      <c r="H10" s="84"/>
      <c r="I10" s="96" t="s">
        <v>41</v>
      </c>
      <c r="J10" s="58" t="s">
        <v>48</v>
      </c>
    </row>
    <row r="11" spans="2:10" ht="30" x14ac:dyDescent="0.25">
      <c r="B11" s="69" t="s">
        <v>76</v>
      </c>
      <c r="C11" s="62" t="s">
        <v>68</v>
      </c>
      <c r="D11" s="55">
        <f>'August 2016'!F217</f>
        <v>1147.7</v>
      </c>
      <c r="E11" s="56" t="s">
        <v>23</v>
      </c>
      <c r="F11" s="56" t="s">
        <v>69</v>
      </c>
      <c r="G11" s="88"/>
      <c r="H11" s="88">
        <f>'August 2016'!P217</f>
        <v>46048.400000000023</v>
      </c>
      <c r="I11" s="79" t="s">
        <v>40</v>
      </c>
      <c r="J11" s="58" t="s">
        <v>48</v>
      </c>
    </row>
    <row r="12" spans="2:10" ht="19.5" x14ac:dyDescent="0.25">
      <c r="B12" s="19"/>
      <c r="C12" s="201" t="s">
        <v>42</v>
      </c>
      <c r="D12" s="202"/>
      <c r="E12" s="31"/>
      <c r="F12" s="31"/>
      <c r="G12" s="93">
        <f>SUM(G4:G10)</f>
        <v>70549.892000000036</v>
      </c>
      <c r="H12" s="129">
        <f>SUM(H4:H11)</f>
        <v>405130.46361605765</v>
      </c>
      <c r="I12" s="94">
        <f>G12+H12</f>
        <v>475680.3556160577</v>
      </c>
      <c r="J12" s="23"/>
    </row>
    <row r="16" spans="2:10" ht="21" x14ac:dyDescent="0.35">
      <c r="B16" s="71" t="s">
        <v>526</v>
      </c>
    </row>
    <row r="17" spans="2:10" ht="27" x14ac:dyDescent="0.25">
      <c r="B17" s="5" t="s">
        <v>77</v>
      </c>
      <c r="C17" s="27" t="s">
        <v>32</v>
      </c>
      <c r="D17" s="22" t="s">
        <v>33</v>
      </c>
      <c r="E17" s="22" t="s">
        <v>24</v>
      </c>
      <c r="F17" s="22" t="s">
        <v>34</v>
      </c>
      <c r="G17" s="22" t="s">
        <v>35</v>
      </c>
      <c r="H17" s="22" t="s">
        <v>36</v>
      </c>
      <c r="I17" s="21" t="s">
        <v>37</v>
      </c>
      <c r="J17" s="1" t="s">
        <v>57</v>
      </c>
    </row>
    <row r="18" spans="2:10" ht="40.5" x14ac:dyDescent="0.25">
      <c r="B18" s="30" t="s">
        <v>299</v>
      </c>
      <c r="C18" s="1" t="s">
        <v>527</v>
      </c>
      <c r="D18" s="2">
        <f>'August 2016'!F225</f>
        <v>18930</v>
      </c>
      <c r="E18" s="15" t="s">
        <v>25</v>
      </c>
      <c r="F18" s="15">
        <v>1.05</v>
      </c>
      <c r="G18" s="86">
        <f>'August 2016'!L225</f>
        <v>19876.500000000011</v>
      </c>
      <c r="H18" s="95"/>
      <c r="I18" s="92" t="s">
        <v>311</v>
      </c>
      <c r="J18" s="23" t="s">
        <v>48</v>
      </c>
    </row>
    <row r="19" spans="2:10" ht="27" x14ac:dyDescent="0.25">
      <c r="B19" s="30" t="s">
        <v>299</v>
      </c>
      <c r="C19" s="1" t="s">
        <v>528</v>
      </c>
      <c r="D19" s="2">
        <f>'August 2016'!G230</f>
        <v>75720</v>
      </c>
      <c r="E19" s="15" t="s">
        <v>25</v>
      </c>
      <c r="F19" s="15">
        <v>1.32</v>
      </c>
      <c r="G19" s="86">
        <f>'August 2016'!L231</f>
        <v>99950.400000000009</v>
      </c>
      <c r="H19" s="95"/>
      <c r="I19" s="92" t="s">
        <v>312</v>
      </c>
      <c r="J19" s="23" t="s">
        <v>48</v>
      </c>
    </row>
    <row r="20" spans="2:10" ht="19.5" x14ac:dyDescent="0.25">
      <c r="B20" s="19"/>
      <c r="C20" s="201" t="s">
        <v>42</v>
      </c>
      <c r="D20" s="202"/>
      <c r="E20" s="31"/>
      <c r="F20" s="31"/>
      <c r="G20" s="93">
        <f>SUM(G18:G19)</f>
        <v>119826.90000000002</v>
      </c>
      <c r="H20" s="107"/>
      <c r="I20" s="94">
        <f>G20+H20</f>
        <v>119826.90000000002</v>
      </c>
      <c r="J20" s="23"/>
    </row>
    <row r="23" spans="2:10" x14ac:dyDescent="0.25">
      <c r="G23">
        <v>19877</v>
      </c>
    </row>
    <row r="24" spans="2:10" x14ac:dyDescent="0.25">
      <c r="G24">
        <v>99950</v>
      </c>
    </row>
  </sheetData>
  <mergeCells count="2">
    <mergeCell ref="C12:D12"/>
    <mergeCell ref="C20:D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zoomScale="86" zoomScaleNormal="86" workbookViewId="0">
      <selection activeCell="G22" sqref="G22"/>
    </sheetView>
  </sheetViews>
  <sheetFormatPr defaultColWidth="19.7109375" defaultRowHeight="15" x14ac:dyDescent="0.25"/>
  <cols>
    <col min="2" max="2" width="21.5703125" bestFit="1" customWidth="1"/>
    <col min="3" max="3" width="34.5703125" style="29" customWidth="1"/>
    <col min="4" max="4" width="13.85546875" bestFit="1" customWidth="1"/>
    <col min="5" max="5" width="14.140625" customWidth="1"/>
    <col min="6" max="7" width="20.42578125" bestFit="1" customWidth="1"/>
    <col min="8" max="8" width="15.140625" customWidth="1"/>
    <col min="9" max="9" width="24" bestFit="1" customWidth="1"/>
    <col min="10" max="10" width="10.85546875" customWidth="1"/>
  </cols>
  <sheetData>
    <row r="2" spans="2:10" ht="21" x14ac:dyDescent="0.35">
      <c r="B2" s="71" t="s">
        <v>839</v>
      </c>
    </row>
    <row r="3" spans="2:10" ht="27" x14ac:dyDescent="0.25">
      <c r="B3" s="27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x14ac:dyDescent="0.25">
      <c r="B4" s="182" t="s">
        <v>568</v>
      </c>
      <c r="C4" s="166" t="s">
        <v>99</v>
      </c>
      <c r="D4" s="167">
        <f>'Jan 2017'!D32</f>
        <v>1561445</v>
      </c>
      <c r="E4" s="168" t="s">
        <v>39</v>
      </c>
      <c r="F4" s="168" t="s">
        <v>100</v>
      </c>
      <c r="G4" s="169"/>
      <c r="H4" s="150">
        <f>'Jan 2017'!K33</f>
        <v>24077.159999999963</v>
      </c>
      <c r="I4" s="170" t="s">
        <v>101</v>
      </c>
      <c r="J4" s="1"/>
    </row>
    <row r="5" spans="2:10" x14ac:dyDescent="0.25">
      <c r="B5" s="182" t="s">
        <v>569</v>
      </c>
      <c r="C5" s="166" t="s">
        <v>570</v>
      </c>
      <c r="D5" s="167">
        <f>'Feb 2017'!D27+'Consol Jan2017'!D5+'Consol March2017'!D7</f>
        <v>4315390</v>
      </c>
      <c r="E5" s="168" t="s">
        <v>39</v>
      </c>
      <c r="F5" s="168" t="s">
        <v>571</v>
      </c>
      <c r="G5" s="169">
        <f>'Feb 2017'!O28+'Consol Jan2017'!G5+'Consol March2017'!G7</f>
        <v>22021.849230769258</v>
      </c>
      <c r="H5" s="169"/>
      <c r="I5" s="170" t="s">
        <v>101</v>
      </c>
      <c r="J5" s="168" t="s">
        <v>48</v>
      </c>
    </row>
    <row r="6" spans="2:10" x14ac:dyDescent="0.25">
      <c r="B6" s="183" t="s">
        <v>98</v>
      </c>
      <c r="C6" s="166" t="s">
        <v>102</v>
      </c>
      <c r="D6" s="167">
        <f>'Jan 2017'!D53</f>
        <v>15605</v>
      </c>
      <c r="E6" s="168" t="s">
        <v>23</v>
      </c>
      <c r="F6" s="168" t="s">
        <v>103</v>
      </c>
      <c r="G6" s="169"/>
      <c r="H6" s="169">
        <f>'Jan 2017'!K53</f>
        <v>44110.149999999936</v>
      </c>
      <c r="I6" s="170" t="s">
        <v>101</v>
      </c>
      <c r="J6" s="168" t="s">
        <v>48</v>
      </c>
    </row>
    <row r="7" spans="2:10" x14ac:dyDescent="0.25">
      <c r="B7" s="184" t="s">
        <v>777</v>
      </c>
      <c r="C7" s="172" t="s">
        <v>47</v>
      </c>
      <c r="D7" s="173">
        <f>'Feb 2017'!D43+'Consol Jan2017'!D8+'Consol March2017'!D8</f>
        <v>229845</v>
      </c>
      <c r="E7" s="174" t="s">
        <v>29</v>
      </c>
      <c r="F7" s="174" t="s">
        <v>55</v>
      </c>
      <c r="G7" s="175">
        <f>'Feb 2017'!J43+'Consol Jan2017'!G8+'Consol March2017'!G8</f>
        <v>47625.75</v>
      </c>
      <c r="H7" s="175"/>
      <c r="I7" s="176" t="s">
        <v>41</v>
      </c>
      <c r="J7" s="174" t="s">
        <v>48</v>
      </c>
    </row>
    <row r="8" spans="2:10" x14ac:dyDescent="0.25">
      <c r="B8" s="183" t="s">
        <v>299</v>
      </c>
      <c r="C8" s="166" t="s">
        <v>418</v>
      </c>
      <c r="D8" s="167">
        <f>'Consol Jan2017'!D7</f>
        <v>52500</v>
      </c>
      <c r="E8" s="168" t="s">
        <v>29</v>
      </c>
      <c r="F8" s="168" t="s">
        <v>419</v>
      </c>
      <c r="G8" s="150">
        <f>'Consol Jan2017'!G7</f>
        <v>24622.5</v>
      </c>
      <c r="H8" s="169"/>
      <c r="I8" s="170" t="s">
        <v>301</v>
      </c>
      <c r="J8" s="168" t="s">
        <v>48</v>
      </c>
    </row>
    <row r="9" spans="2:10" ht="27.75" x14ac:dyDescent="0.25">
      <c r="B9" s="184" t="s">
        <v>778</v>
      </c>
      <c r="C9" s="172" t="s">
        <v>573</v>
      </c>
      <c r="D9" s="173">
        <f>18470+'Consol Jan2017'!D9+'Consol March2017'!D9</f>
        <v>148845</v>
      </c>
      <c r="E9" s="174" t="s">
        <v>29</v>
      </c>
      <c r="F9" s="174" t="s">
        <v>574</v>
      </c>
      <c r="G9" s="156">
        <f>'Feb 2017'!N43+'Consol Jan2017'!G9+'Consol March2017'!G9</f>
        <v>10403.799999999999</v>
      </c>
      <c r="H9" s="175"/>
      <c r="I9" s="176" t="s">
        <v>41</v>
      </c>
      <c r="J9" s="174"/>
    </row>
    <row r="10" spans="2:10" x14ac:dyDescent="0.25">
      <c r="B10" s="186">
        <v>42767</v>
      </c>
      <c r="C10" s="172" t="s">
        <v>646</v>
      </c>
      <c r="D10" s="177">
        <f>'Feb 2017'!F206+'Consol Jan2017'!D11</f>
        <v>1648500</v>
      </c>
      <c r="E10" s="174" t="s">
        <v>25</v>
      </c>
      <c r="F10" s="174" t="s">
        <v>303</v>
      </c>
      <c r="G10" s="175"/>
      <c r="H10" s="175">
        <f>D10/13333.33*3000</f>
        <v>370912.59272814821</v>
      </c>
      <c r="I10" s="176"/>
      <c r="J10" s="174" t="s">
        <v>49</v>
      </c>
    </row>
    <row r="11" spans="2:10" x14ac:dyDescent="0.25">
      <c r="B11" s="185" t="s">
        <v>630</v>
      </c>
      <c r="C11" s="172" t="s">
        <v>640</v>
      </c>
      <c r="D11" s="173">
        <v>480</v>
      </c>
      <c r="E11" s="174"/>
      <c r="F11" s="174">
        <v>8.64</v>
      </c>
      <c r="G11" s="156">
        <f>'Jan 2017'!J96</f>
        <v>4143.2255999999934</v>
      </c>
      <c r="H11" s="175"/>
      <c r="I11" s="176" t="s">
        <v>647</v>
      </c>
      <c r="J11" s="174" t="s">
        <v>48</v>
      </c>
    </row>
    <row r="12" spans="2:10" x14ac:dyDescent="0.25">
      <c r="B12" s="185" t="s">
        <v>835</v>
      </c>
      <c r="C12" s="172" t="s">
        <v>836</v>
      </c>
      <c r="D12" s="173">
        <f>'Feb 2017'!F154+'Consol March2017'!D10</f>
        <v>31564.300000000003</v>
      </c>
      <c r="E12" s="174"/>
      <c r="F12" s="174">
        <v>4.7</v>
      </c>
      <c r="G12" s="156">
        <f>'Feb 2017'!K154+'Consol March2017'!G10</f>
        <v>148352.20999999961</v>
      </c>
      <c r="H12" s="175"/>
      <c r="I12" s="176" t="s">
        <v>430</v>
      </c>
      <c r="J12" s="174" t="s">
        <v>48</v>
      </c>
    </row>
    <row r="13" spans="2:10" ht="30" x14ac:dyDescent="0.25">
      <c r="B13" s="185" t="s">
        <v>630</v>
      </c>
      <c r="C13" s="172" t="s">
        <v>631</v>
      </c>
      <c r="D13" s="173">
        <f>'Feb 2017'!D57+'Consol Jan2017'!D10</f>
        <v>734790</v>
      </c>
      <c r="E13" s="174" t="s">
        <v>25</v>
      </c>
      <c r="F13" s="174" t="s">
        <v>634</v>
      </c>
      <c r="G13" s="175">
        <f>'Feb 2017'!K60+'Consol Jan2017'!G10</f>
        <v>6885.3400000000074</v>
      </c>
      <c r="H13" s="175"/>
      <c r="I13" s="176" t="s">
        <v>633</v>
      </c>
      <c r="J13" s="174" t="s">
        <v>48</v>
      </c>
    </row>
    <row r="14" spans="2:10" x14ac:dyDescent="0.25">
      <c r="B14" s="62" t="s">
        <v>576</v>
      </c>
      <c r="C14" s="62" t="s">
        <v>629</v>
      </c>
      <c r="D14" s="84">
        <f>'Feb 2017'!F195+'Consol March2017'!D11</f>
        <v>121858</v>
      </c>
      <c r="E14" s="56" t="s">
        <v>25</v>
      </c>
      <c r="F14" s="56" t="s">
        <v>837</v>
      </c>
      <c r="G14" s="84">
        <f>'Feb 2017'!K195+'Consol March2017'!G11</f>
        <v>108166.71799999999</v>
      </c>
      <c r="H14" s="84"/>
      <c r="I14" s="96" t="s">
        <v>579</v>
      </c>
      <c r="J14" s="174"/>
    </row>
    <row r="15" spans="2:10" ht="30" x14ac:dyDescent="0.25">
      <c r="B15" s="187" t="s">
        <v>728</v>
      </c>
      <c r="C15" s="62" t="s">
        <v>629</v>
      </c>
      <c r="D15" s="84">
        <f>'Jan 2017'!C175</f>
        <v>69000</v>
      </c>
      <c r="E15" s="56" t="s">
        <v>25</v>
      </c>
      <c r="F15" s="56" t="s">
        <v>779</v>
      </c>
      <c r="G15" s="158">
        <f>'Jan 2017'!J174</f>
        <v>92492.257500000007</v>
      </c>
      <c r="H15" s="84"/>
      <c r="I15" s="96" t="s">
        <v>701</v>
      </c>
      <c r="J15" s="174"/>
    </row>
    <row r="16" spans="2:10" ht="27" x14ac:dyDescent="0.25">
      <c r="B16" s="183" t="s">
        <v>308</v>
      </c>
      <c r="C16" s="178" t="s">
        <v>30</v>
      </c>
      <c r="D16" s="167">
        <f>'Feb 2017'!D49+'Consol Jan2017'!D13+'Consol March2017'!D12</f>
        <v>2165.4</v>
      </c>
      <c r="E16" s="168" t="s">
        <v>23</v>
      </c>
      <c r="F16" s="168" t="s">
        <v>307</v>
      </c>
      <c r="G16" s="169">
        <f>'Feb 2017'!K52+'Consol Jan2017'!G13+'Consol March2017'!G12</f>
        <v>17218.025000000001</v>
      </c>
      <c r="H16" s="169"/>
      <c r="I16" s="170" t="s">
        <v>97</v>
      </c>
      <c r="J16" s="168" t="s">
        <v>48</v>
      </c>
    </row>
    <row r="17" spans="2:10" x14ac:dyDescent="0.25">
      <c r="B17" s="188">
        <v>42736</v>
      </c>
      <c r="C17" s="166" t="s">
        <v>780</v>
      </c>
      <c r="D17" s="167">
        <f>'Feb 2017'!D107+'Consol Jan2017'!D15+'Consol March2017'!D20</f>
        <v>49401.990000000005</v>
      </c>
      <c r="E17" s="168"/>
      <c r="F17" s="168"/>
      <c r="G17" s="169">
        <f>'Feb 2017'!K107+'Consol Jan2017'!G15+'Consol March2017'!G20</f>
        <v>163566.69070000015</v>
      </c>
      <c r="H17" s="169"/>
      <c r="I17" s="170" t="s">
        <v>785</v>
      </c>
      <c r="J17" s="168"/>
    </row>
    <row r="18" spans="2:10" x14ac:dyDescent="0.25">
      <c r="B18" s="188">
        <v>42736</v>
      </c>
      <c r="C18" s="166" t="s">
        <v>780</v>
      </c>
      <c r="D18" s="167">
        <f>'Feb 2017'!F135+'Consol Jan2017'!D16+'Consol March2017'!D21</f>
        <v>41353.300000000003</v>
      </c>
      <c r="E18" s="168"/>
      <c r="F18" s="168"/>
      <c r="G18" s="169">
        <f>'Feb 2017'!K135+'Consol Jan2017'!G16+'Consol March2017'!G21</f>
        <v>109433.29499999993</v>
      </c>
      <c r="H18" s="169"/>
      <c r="I18" s="170" t="s">
        <v>40</v>
      </c>
      <c r="J18" s="168"/>
    </row>
    <row r="19" spans="2:10" x14ac:dyDescent="0.25">
      <c r="B19" s="188">
        <v>42736</v>
      </c>
      <c r="C19" s="166" t="s">
        <v>786</v>
      </c>
      <c r="D19" s="167">
        <f>'Feb 2017'!F161+'Consol Jan2017'!D17</f>
        <v>2634.7</v>
      </c>
      <c r="E19" s="168"/>
      <c r="F19" s="168"/>
      <c r="G19" s="169">
        <f>'Feb 2017'!K163+'Consol Jan2017'!G17</f>
        <v>841.45999999999674</v>
      </c>
      <c r="H19" s="169"/>
      <c r="I19" s="170" t="s">
        <v>430</v>
      </c>
      <c r="J19" s="168"/>
    </row>
    <row r="20" spans="2:10" x14ac:dyDescent="0.25">
      <c r="B20" s="188">
        <v>42736</v>
      </c>
      <c r="C20" s="166" t="s">
        <v>786</v>
      </c>
      <c r="D20" s="167">
        <f>'Feb 2017'!F185+'Consol Jan2017'!D18+'Consol March2017'!D22</f>
        <v>57591</v>
      </c>
      <c r="E20" s="168"/>
      <c r="F20" s="168"/>
      <c r="G20" s="169">
        <f>'Feb 2017'!K185+'Consol Jan2017'!G18+'Consol March2017'!G22</f>
        <v>138498.79999999978</v>
      </c>
      <c r="H20" s="169"/>
      <c r="I20" s="170" t="s">
        <v>913</v>
      </c>
      <c r="J20" s="168"/>
    </row>
    <row r="21" spans="2:10" x14ac:dyDescent="0.25">
      <c r="B21" s="138" t="s">
        <v>630</v>
      </c>
      <c r="C21" s="62" t="s">
        <v>639</v>
      </c>
      <c r="D21" s="55">
        <f>'Consol March2017'!D13</f>
        <v>50000</v>
      </c>
      <c r="E21" s="168"/>
      <c r="F21" s="168"/>
      <c r="G21" s="169">
        <f>'Consol March2017'!G13</f>
        <v>12500</v>
      </c>
      <c r="H21" s="169"/>
      <c r="I21" s="170"/>
      <c r="J21" s="168"/>
    </row>
    <row r="22" spans="2:10" x14ac:dyDescent="0.25">
      <c r="B22" s="183" t="s">
        <v>884</v>
      </c>
      <c r="C22" s="166" t="s">
        <v>885</v>
      </c>
      <c r="D22" s="167">
        <f>'Consol March2017'!D14</f>
        <v>216500</v>
      </c>
      <c r="E22" s="168"/>
      <c r="F22" s="168"/>
      <c r="G22" s="169">
        <f>'Consol March2017'!G14</f>
        <v>36805.000000000029</v>
      </c>
      <c r="H22" s="169"/>
      <c r="I22" s="170"/>
      <c r="J22" s="168"/>
    </row>
    <row r="23" spans="2:10" x14ac:dyDescent="0.25">
      <c r="B23" s="183" t="s">
        <v>886</v>
      </c>
      <c r="C23" s="166" t="s">
        <v>885</v>
      </c>
      <c r="D23" s="167"/>
      <c r="E23" s="168"/>
      <c r="F23" s="168" t="s">
        <v>887</v>
      </c>
      <c r="G23" s="169">
        <v>100000</v>
      </c>
      <c r="H23" s="169"/>
      <c r="I23" s="170" t="s">
        <v>887</v>
      </c>
      <c r="J23" s="168"/>
    </row>
    <row r="24" spans="2:10" x14ac:dyDescent="0.25">
      <c r="B24" s="62" t="s">
        <v>421</v>
      </c>
      <c r="C24" s="62" t="s">
        <v>422</v>
      </c>
      <c r="D24" s="84">
        <f>'Consol March2017'!D16</f>
        <v>8645</v>
      </c>
      <c r="E24" s="56" t="s">
        <v>29</v>
      </c>
      <c r="F24" s="56" t="s">
        <v>426</v>
      </c>
      <c r="G24" s="84">
        <f>'Consol March2017'!G16</f>
        <v>122586.09999999999</v>
      </c>
      <c r="H24" s="84"/>
      <c r="I24" s="96" t="s">
        <v>423</v>
      </c>
      <c r="J24" s="58" t="s">
        <v>49</v>
      </c>
    </row>
    <row r="25" spans="2:10" x14ac:dyDescent="0.25">
      <c r="B25" s="62" t="s">
        <v>421</v>
      </c>
      <c r="C25" s="62" t="s">
        <v>910</v>
      </c>
      <c r="D25" s="84">
        <v>170</v>
      </c>
      <c r="E25" s="56" t="s">
        <v>29</v>
      </c>
      <c r="F25" s="56"/>
      <c r="G25" s="84">
        <f>'Consol March2017'!G17</f>
        <v>18767.250000000015</v>
      </c>
      <c r="H25" s="84"/>
      <c r="I25" s="96" t="s">
        <v>423</v>
      </c>
      <c r="J25" s="58" t="s">
        <v>49</v>
      </c>
    </row>
    <row r="26" spans="2:10" x14ac:dyDescent="0.25">
      <c r="B26" s="62" t="s">
        <v>911</v>
      </c>
      <c r="C26" s="62" t="s">
        <v>425</v>
      </c>
      <c r="D26" s="84">
        <v>6</v>
      </c>
      <c r="E26" s="56" t="s">
        <v>427</v>
      </c>
      <c r="F26" s="56" t="s">
        <v>909</v>
      </c>
      <c r="G26" s="84">
        <f>'Consol March2017'!G18</f>
        <v>168600.00000000003</v>
      </c>
      <c r="H26" s="84"/>
      <c r="I26" s="96" t="s">
        <v>429</v>
      </c>
      <c r="J26" s="58" t="s">
        <v>49</v>
      </c>
    </row>
    <row r="27" spans="2:10" x14ac:dyDescent="0.25">
      <c r="B27" s="171"/>
      <c r="C27" s="178"/>
      <c r="D27" s="167"/>
      <c r="E27" s="168"/>
      <c r="F27" s="168"/>
      <c r="G27" s="169"/>
      <c r="H27" s="169"/>
      <c r="I27" s="170"/>
      <c r="J27" s="168"/>
    </row>
    <row r="28" spans="2:10" ht="19.5" x14ac:dyDescent="0.25">
      <c r="B28" s="179"/>
      <c r="C28" s="197" t="s">
        <v>42</v>
      </c>
      <c r="D28" s="198"/>
      <c r="E28" s="180"/>
      <c r="F28" s="180"/>
      <c r="G28" s="93">
        <f>SUM(G4:G27)</f>
        <v>1353530.2710307688</v>
      </c>
      <c r="H28" s="93">
        <f>SUM(H4:H27)</f>
        <v>439099.9027281481</v>
      </c>
      <c r="I28" s="94">
        <f>SUM(G28:H28)</f>
        <v>1792630.1737589168</v>
      </c>
      <c r="J28" s="149"/>
    </row>
    <row r="29" spans="2:10" x14ac:dyDescent="0.25">
      <c r="G29" s="141"/>
    </row>
    <row r="30" spans="2:10" x14ac:dyDescent="0.25">
      <c r="G30" s="141"/>
      <c r="H30" s="141"/>
    </row>
    <row r="34" spans="3:7" ht="15.75" thickBot="1" x14ac:dyDescent="0.3"/>
    <row r="35" spans="3:7" ht="21" thickBot="1" x14ac:dyDescent="0.35">
      <c r="C35" s="191">
        <v>7.47</v>
      </c>
      <c r="D35" s="191">
        <v>34.130000000000003</v>
      </c>
      <c r="E35" s="191">
        <v>12.76</v>
      </c>
      <c r="F35" s="192">
        <v>9.84</v>
      </c>
      <c r="G35">
        <f>SUM(C35:F35)</f>
        <v>64.2</v>
      </c>
    </row>
    <row r="36" spans="3:7" ht="21" thickBot="1" x14ac:dyDescent="0.3">
      <c r="C36" s="193">
        <v>31.13</v>
      </c>
      <c r="D36" s="193">
        <v>17.32</v>
      </c>
      <c r="E36" s="193">
        <v>15.11</v>
      </c>
      <c r="F36" s="194">
        <v>9.42</v>
      </c>
      <c r="G36">
        <f>SUM(C36:F36)</f>
        <v>72.98</v>
      </c>
    </row>
    <row r="37" spans="3:7" ht="24" thickBot="1" x14ac:dyDescent="0.3">
      <c r="C37" s="195">
        <v>38.6</v>
      </c>
      <c r="D37" s="195">
        <v>51.45</v>
      </c>
      <c r="E37" s="195">
        <v>27.87</v>
      </c>
      <c r="F37" s="195">
        <f>SUM(F35:F36)</f>
        <v>19.259999999999998</v>
      </c>
      <c r="G37">
        <f>SUM(G35:G36)</f>
        <v>137.18</v>
      </c>
    </row>
    <row r="40" spans="3:7" x14ac:dyDescent="0.25">
      <c r="D40" s="104"/>
    </row>
    <row r="41" spans="3:7" x14ac:dyDescent="0.25">
      <c r="D41" s="106"/>
    </row>
    <row r="42" spans="3:7" x14ac:dyDescent="0.25">
      <c r="D42" s="104"/>
    </row>
    <row r="43" spans="3:7" x14ac:dyDescent="0.25">
      <c r="D43" s="141"/>
      <c r="F43" s="142"/>
    </row>
    <row r="47" spans="3:7" x14ac:dyDescent="0.25">
      <c r="F47" s="6"/>
    </row>
  </sheetData>
  <mergeCells count="1">
    <mergeCell ref="C28:D2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1"/>
  <sheetViews>
    <sheetView topLeftCell="A213" zoomScale="80" zoomScaleNormal="80" workbookViewId="0">
      <selection activeCell="A205" sqref="A205"/>
    </sheetView>
  </sheetViews>
  <sheetFormatPr defaultRowHeight="15" x14ac:dyDescent="0.25"/>
  <cols>
    <col min="1" max="1" width="11.42578125" customWidth="1"/>
    <col min="2" max="2" width="14.42578125" customWidth="1"/>
    <col min="3" max="3" width="20.140625" customWidth="1"/>
    <col min="5" max="5" width="45.7109375" customWidth="1"/>
    <col min="6" max="6" width="16.5703125" bestFit="1" customWidth="1"/>
    <col min="7" max="8" width="15" customWidth="1"/>
    <col min="9" max="9" width="13.42578125" bestFit="1" customWidth="1"/>
    <col min="10" max="10" width="12.7109375" customWidth="1"/>
    <col min="11" max="11" width="14.85546875" bestFit="1" customWidth="1"/>
    <col min="12" max="12" width="9.5703125" customWidth="1"/>
    <col min="13" max="13" width="11.140625" bestFit="1" customWidth="1"/>
    <col min="14" max="14" width="31" bestFit="1" customWidth="1"/>
    <col min="15" max="15" width="12" customWidth="1"/>
    <col min="16" max="16" width="13.5703125" customWidth="1"/>
  </cols>
  <sheetData>
    <row r="2" spans="1:18" x14ac:dyDescent="0.25">
      <c r="A2" t="s">
        <v>450</v>
      </c>
    </row>
    <row r="3" spans="1:18" ht="45" x14ac:dyDescent="0.25">
      <c r="A3" s="1" t="s">
        <v>436</v>
      </c>
      <c r="B3" s="1"/>
      <c r="C3" s="1" t="s">
        <v>172</v>
      </c>
      <c r="D3" s="1" t="s">
        <v>167</v>
      </c>
      <c r="E3" s="1" t="s">
        <v>169</v>
      </c>
      <c r="F3" s="1"/>
      <c r="G3" s="1" t="s">
        <v>22</v>
      </c>
      <c r="H3" s="1"/>
      <c r="I3" s="25" t="s">
        <v>61</v>
      </c>
      <c r="J3" s="25" t="s">
        <v>62</v>
      </c>
      <c r="K3" s="12" t="s">
        <v>52</v>
      </c>
      <c r="L3" s="12" t="s">
        <v>21</v>
      </c>
      <c r="M3" s="17" t="s">
        <v>53</v>
      </c>
      <c r="N3" s="17" t="s">
        <v>54</v>
      </c>
      <c r="O3" s="17" t="s">
        <v>1</v>
      </c>
      <c r="P3" s="17" t="s">
        <v>2</v>
      </c>
      <c r="Q3" s="17" t="s">
        <v>3</v>
      </c>
      <c r="R3" s="17" t="s">
        <v>4</v>
      </c>
    </row>
    <row r="4" spans="1:18" x14ac:dyDescent="0.25">
      <c r="A4" s="1"/>
      <c r="B4" s="1"/>
      <c r="C4" s="1"/>
      <c r="D4" s="1"/>
      <c r="E4" s="1"/>
      <c r="F4" s="1"/>
      <c r="G4" s="1"/>
      <c r="H4" s="1"/>
      <c r="I4" s="25"/>
      <c r="J4" s="25"/>
      <c r="K4" s="12"/>
      <c r="L4" s="12"/>
      <c r="M4" s="17"/>
      <c r="N4" s="17"/>
      <c r="O4" s="17"/>
      <c r="P4" s="17"/>
      <c r="Q4" s="17"/>
      <c r="R4" s="17"/>
    </row>
    <row r="5" spans="1:18" x14ac:dyDescent="0.25">
      <c r="A5" s="1" t="s">
        <v>451</v>
      </c>
      <c r="B5" s="1"/>
      <c r="C5" s="1">
        <v>5000240553</v>
      </c>
      <c r="D5" s="1">
        <v>105</v>
      </c>
      <c r="E5" s="25" t="s">
        <v>8</v>
      </c>
      <c r="F5" s="1" t="s">
        <v>372</v>
      </c>
      <c r="G5" s="1">
        <v>619.4</v>
      </c>
      <c r="H5" s="1"/>
      <c r="I5" s="25">
        <v>163.30000000000001</v>
      </c>
      <c r="J5" s="25">
        <v>164.5</v>
      </c>
      <c r="K5" s="12">
        <f>J5-I5</f>
        <v>1.1999999999999886</v>
      </c>
      <c r="L5" s="12">
        <f>G5*K5</f>
        <v>743.27999999999292</v>
      </c>
      <c r="M5" s="9">
        <v>15.4</v>
      </c>
      <c r="N5" s="9">
        <v>14.43</v>
      </c>
      <c r="O5" s="7">
        <f t="shared" ref="O5" si="0">G5/M5</f>
        <v>40.220779220779221</v>
      </c>
      <c r="P5" s="7">
        <f t="shared" ref="P5" si="1">G5/N5</f>
        <v>42.924462924462922</v>
      </c>
      <c r="Q5" s="7">
        <f t="shared" ref="Q5" si="2">P5-O5</f>
        <v>2.7036837036837014</v>
      </c>
      <c r="R5" s="10">
        <f t="shared" ref="R5" si="3">Q5*M5*J5</f>
        <v>6849.2419265419203</v>
      </c>
    </row>
    <row r="6" spans="1:18" x14ac:dyDescent="0.25">
      <c r="A6" s="1" t="s">
        <v>452</v>
      </c>
      <c r="B6" s="1"/>
      <c r="C6" s="1">
        <v>5000239966</v>
      </c>
      <c r="D6" s="1">
        <v>105</v>
      </c>
      <c r="E6" s="25" t="s">
        <v>8</v>
      </c>
      <c r="F6" s="1" t="s">
        <v>453</v>
      </c>
      <c r="G6" s="1">
        <v>646.4</v>
      </c>
      <c r="H6" s="1"/>
      <c r="I6" s="25">
        <v>163.30000000000001</v>
      </c>
      <c r="J6" s="25">
        <v>164.5</v>
      </c>
      <c r="K6" s="12">
        <f t="shared" ref="K6:K24" si="4">J6-I6</f>
        <v>1.1999999999999886</v>
      </c>
      <c r="L6" s="12">
        <f t="shared" ref="L6:L24" si="5">G6*K6</f>
        <v>775.67999999999267</v>
      </c>
      <c r="M6" s="9">
        <v>15.4</v>
      </c>
      <c r="N6" s="9">
        <v>14.43</v>
      </c>
      <c r="O6" s="7">
        <f t="shared" ref="O6:O24" si="6">G6/M6</f>
        <v>41.97402597402597</v>
      </c>
      <c r="P6" s="7">
        <f t="shared" ref="P6:P24" si="7">G6/N6</f>
        <v>44.795564795564793</v>
      </c>
      <c r="Q6" s="7">
        <f t="shared" ref="Q6:Q24" si="8">P6-O6</f>
        <v>2.8215388215388231</v>
      </c>
      <c r="R6" s="10">
        <f t="shared" ref="R6:R24" si="9">Q6*M6*J6</f>
        <v>7147.8042966043013</v>
      </c>
    </row>
    <row r="7" spans="1:18" x14ac:dyDescent="0.25">
      <c r="A7" s="1" t="s">
        <v>452</v>
      </c>
      <c r="B7" s="1"/>
      <c r="C7" s="1">
        <v>5000239966</v>
      </c>
      <c r="D7" s="1">
        <v>105</v>
      </c>
      <c r="E7" s="25" t="s">
        <v>8</v>
      </c>
      <c r="F7" s="1" t="s">
        <v>453</v>
      </c>
      <c r="G7" s="1">
        <v>500</v>
      </c>
      <c r="H7" s="1"/>
      <c r="I7" s="25">
        <v>163.30000000000001</v>
      </c>
      <c r="J7" s="25">
        <v>164.5</v>
      </c>
      <c r="K7" s="12">
        <f t="shared" si="4"/>
        <v>1.1999999999999886</v>
      </c>
      <c r="L7" s="12">
        <f t="shared" si="5"/>
        <v>599.99999999999432</v>
      </c>
      <c r="M7" s="9">
        <v>15.4</v>
      </c>
      <c r="N7" s="9">
        <v>14.43</v>
      </c>
      <c r="O7" s="7">
        <f t="shared" si="6"/>
        <v>32.467532467532465</v>
      </c>
      <c r="P7" s="7">
        <f t="shared" si="7"/>
        <v>34.650034650034648</v>
      </c>
      <c r="Q7" s="7">
        <f t="shared" si="8"/>
        <v>2.1825021825021835</v>
      </c>
      <c r="R7" s="10">
        <f t="shared" si="9"/>
        <v>5528.9327789327817</v>
      </c>
    </row>
    <row r="8" spans="1:18" x14ac:dyDescent="0.25">
      <c r="A8" s="1" t="s">
        <v>454</v>
      </c>
      <c r="B8" s="1"/>
      <c r="C8" s="1">
        <v>5000243876</v>
      </c>
      <c r="D8" s="1">
        <v>105</v>
      </c>
      <c r="E8" s="25" t="s">
        <v>13</v>
      </c>
      <c r="F8" s="1" t="s">
        <v>372</v>
      </c>
      <c r="G8" s="1">
        <v>301.60000000000002</v>
      </c>
      <c r="H8" s="1"/>
      <c r="I8" s="25">
        <v>163.30000000000001</v>
      </c>
      <c r="J8" s="25">
        <v>164.5</v>
      </c>
      <c r="K8" s="12">
        <f t="shared" si="4"/>
        <v>1.1999999999999886</v>
      </c>
      <c r="L8" s="12">
        <f t="shared" si="5"/>
        <v>361.91999999999661</v>
      </c>
      <c r="M8" s="3">
        <v>20.11</v>
      </c>
      <c r="N8" s="7">
        <v>19.600000000000001</v>
      </c>
      <c r="O8" s="7">
        <f t="shared" si="6"/>
        <v>14.997513674788664</v>
      </c>
      <c r="P8" s="7">
        <f t="shared" si="7"/>
        <v>15.387755102040817</v>
      </c>
      <c r="Q8" s="7">
        <f t="shared" si="8"/>
        <v>0.39024142725215327</v>
      </c>
      <c r="R8" s="10">
        <f t="shared" si="9"/>
        <v>1290.9557142857118</v>
      </c>
    </row>
    <row r="9" spans="1:18" x14ac:dyDescent="0.25">
      <c r="A9" s="1" t="s">
        <v>452</v>
      </c>
      <c r="B9" s="1"/>
      <c r="C9" s="1">
        <v>5000239961</v>
      </c>
      <c r="D9" s="1">
        <v>105</v>
      </c>
      <c r="E9" s="25" t="s">
        <v>13</v>
      </c>
      <c r="F9" s="1" t="s">
        <v>455</v>
      </c>
      <c r="G9" s="1">
        <v>710</v>
      </c>
      <c r="H9" s="1"/>
      <c r="I9" s="25">
        <v>163.30000000000001</v>
      </c>
      <c r="J9" s="25">
        <v>164.5</v>
      </c>
      <c r="K9" s="12">
        <f t="shared" si="4"/>
        <v>1.1999999999999886</v>
      </c>
      <c r="L9" s="12">
        <f t="shared" si="5"/>
        <v>851.99999999999193</v>
      </c>
      <c r="M9" s="3">
        <v>20.11</v>
      </c>
      <c r="N9" s="7">
        <v>19.600000000000001</v>
      </c>
      <c r="O9" s="7">
        <f t="shared" si="6"/>
        <v>35.305818000994535</v>
      </c>
      <c r="P9" s="7">
        <f t="shared" si="7"/>
        <v>36.224489795918366</v>
      </c>
      <c r="Q9" s="7">
        <f t="shared" si="8"/>
        <v>0.91867179492383144</v>
      </c>
      <c r="R9" s="10">
        <f t="shared" si="9"/>
        <v>3039.053571428552</v>
      </c>
    </row>
    <row r="10" spans="1:18" x14ac:dyDescent="0.25">
      <c r="A10" s="1" t="s">
        <v>452</v>
      </c>
      <c r="B10" s="1"/>
      <c r="C10" s="1">
        <v>5000239961</v>
      </c>
      <c r="D10" s="1">
        <v>105</v>
      </c>
      <c r="E10" s="25" t="s">
        <v>13</v>
      </c>
      <c r="F10" s="1" t="s">
        <v>455</v>
      </c>
      <c r="G10" s="1">
        <v>22</v>
      </c>
      <c r="H10" s="1"/>
      <c r="I10" s="25">
        <v>163.30000000000001</v>
      </c>
      <c r="J10" s="25">
        <v>164.5</v>
      </c>
      <c r="K10" s="12">
        <f t="shared" si="4"/>
        <v>1.1999999999999886</v>
      </c>
      <c r="L10" s="12">
        <f t="shared" si="5"/>
        <v>26.39999999999975</v>
      </c>
      <c r="M10" s="3">
        <v>20.11</v>
      </c>
      <c r="N10" s="7">
        <v>19.600000000000001</v>
      </c>
      <c r="O10" s="7">
        <f t="shared" si="6"/>
        <v>1.093983092988563</v>
      </c>
      <c r="P10" s="7">
        <f t="shared" si="7"/>
        <v>1.1224489795918366</v>
      </c>
      <c r="Q10" s="7">
        <f t="shared" si="8"/>
        <v>2.8465886603273649E-2</v>
      </c>
      <c r="R10" s="10">
        <f t="shared" si="9"/>
        <v>94.167857142856533</v>
      </c>
    </row>
    <row r="11" spans="1:18" x14ac:dyDescent="0.25">
      <c r="A11" s="1" t="s">
        <v>456</v>
      </c>
      <c r="B11" s="1"/>
      <c r="C11" s="1">
        <v>5000239494</v>
      </c>
      <c r="D11" s="1">
        <v>105</v>
      </c>
      <c r="E11" s="25" t="s">
        <v>13</v>
      </c>
      <c r="F11" s="1" t="s">
        <v>455</v>
      </c>
      <c r="G11" s="3">
        <v>2039.7</v>
      </c>
      <c r="H11" s="3"/>
      <c r="I11" s="25">
        <v>163.30000000000001</v>
      </c>
      <c r="J11" s="25">
        <v>164.5</v>
      </c>
      <c r="K11" s="12">
        <f t="shared" si="4"/>
        <v>1.1999999999999886</v>
      </c>
      <c r="L11" s="12">
        <f t="shared" si="5"/>
        <v>2447.6399999999767</v>
      </c>
      <c r="M11" s="3">
        <v>20.11</v>
      </c>
      <c r="N11" s="7">
        <v>19.600000000000001</v>
      </c>
      <c r="O11" s="7">
        <f t="shared" si="6"/>
        <v>101.42715067130781</v>
      </c>
      <c r="P11" s="7">
        <f t="shared" si="7"/>
        <v>104.06632653061224</v>
      </c>
      <c r="Q11" s="7">
        <f t="shared" si="8"/>
        <v>2.6391758593044301</v>
      </c>
      <c r="R11" s="10">
        <f t="shared" si="9"/>
        <v>8730.6444642856877</v>
      </c>
    </row>
    <row r="12" spans="1:18" x14ac:dyDescent="0.25">
      <c r="A12" s="1" t="s">
        <v>451</v>
      </c>
      <c r="B12" s="1"/>
      <c r="C12" s="1">
        <v>5000240553</v>
      </c>
      <c r="D12" s="1">
        <v>105</v>
      </c>
      <c r="E12" s="25" t="s">
        <v>7</v>
      </c>
      <c r="F12" s="1" t="s">
        <v>372</v>
      </c>
      <c r="G12" s="1">
        <v>383.5</v>
      </c>
      <c r="H12" s="1"/>
      <c r="I12" s="25">
        <v>163.30000000000001</v>
      </c>
      <c r="J12" s="25">
        <v>164.5</v>
      </c>
      <c r="K12" s="12">
        <f t="shared" si="4"/>
        <v>1.1999999999999886</v>
      </c>
      <c r="L12" s="12">
        <f t="shared" si="5"/>
        <v>460.19999999999561</v>
      </c>
      <c r="M12" s="9">
        <v>15.5</v>
      </c>
      <c r="N12" s="9">
        <v>15.09</v>
      </c>
      <c r="O12" s="7">
        <f t="shared" si="6"/>
        <v>24.741935483870968</v>
      </c>
      <c r="P12" s="7">
        <f t="shared" si="7"/>
        <v>25.414181577203447</v>
      </c>
      <c r="Q12" s="7">
        <f t="shared" si="8"/>
        <v>0.67224609333247898</v>
      </c>
      <c r="R12" s="10">
        <f t="shared" si="9"/>
        <v>1714.0594764744883</v>
      </c>
    </row>
    <row r="13" spans="1:18" x14ac:dyDescent="0.25">
      <c r="A13" s="1" t="s">
        <v>457</v>
      </c>
      <c r="B13" s="1"/>
      <c r="C13" s="1">
        <v>5000238786</v>
      </c>
      <c r="D13" s="1">
        <v>105</v>
      </c>
      <c r="E13" s="25" t="s">
        <v>7</v>
      </c>
      <c r="F13" s="1" t="s">
        <v>372</v>
      </c>
      <c r="G13" s="1">
        <v>510</v>
      </c>
      <c r="H13" s="1"/>
      <c r="I13" s="25">
        <v>163.30000000000001</v>
      </c>
      <c r="J13" s="25">
        <v>164.5</v>
      </c>
      <c r="K13" s="12">
        <f t="shared" si="4"/>
        <v>1.1999999999999886</v>
      </c>
      <c r="L13" s="12">
        <f t="shared" si="5"/>
        <v>611.9999999999942</v>
      </c>
      <c r="M13" s="9">
        <v>15.5</v>
      </c>
      <c r="N13" s="9">
        <v>15.09</v>
      </c>
      <c r="O13" s="7">
        <f t="shared" si="6"/>
        <v>32.903225806451616</v>
      </c>
      <c r="P13" s="7">
        <f t="shared" si="7"/>
        <v>33.79721669980119</v>
      </c>
      <c r="Q13" s="7">
        <f t="shared" si="8"/>
        <v>0.89399089334957438</v>
      </c>
      <c r="R13" s="10">
        <f t="shared" si="9"/>
        <v>2279.4532803180773</v>
      </c>
    </row>
    <row r="14" spans="1:18" x14ac:dyDescent="0.25">
      <c r="A14" s="1" t="s">
        <v>457</v>
      </c>
      <c r="B14" s="1"/>
      <c r="C14" s="1">
        <v>5000238786</v>
      </c>
      <c r="D14" s="1">
        <v>105</v>
      </c>
      <c r="E14" s="25" t="s">
        <v>7</v>
      </c>
      <c r="F14" s="1" t="s">
        <v>372</v>
      </c>
      <c r="G14" s="1">
        <v>510</v>
      </c>
      <c r="H14" s="1"/>
      <c r="I14" s="25">
        <v>163.30000000000001</v>
      </c>
      <c r="J14" s="25">
        <v>164.5</v>
      </c>
      <c r="K14" s="12">
        <f t="shared" si="4"/>
        <v>1.1999999999999886</v>
      </c>
      <c r="L14" s="12">
        <f t="shared" si="5"/>
        <v>611.9999999999942</v>
      </c>
      <c r="M14" s="9">
        <v>15.5</v>
      </c>
      <c r="N14" s="9">
        <v>15.09</v>
      </c>
      <c r="O14" s="7">
        <f t="shared" si="6"/>
        <v>32.903225806451616</v>
      </c>
      <c r="P14" s="7">
        <f t="shared" si="7"/>
        <v>33.79721669980119</v>
      </c>
      <c r="Q14" s="7">
        <f t="shared" si="8"/>
        <v>0.89399089334957438</v>
      </c>
      <c r="R14" s="10">
        <f t="shared" si="9"/>
        <v>2279.4532803180773</v>
      </c>
    </row>
    <row r="15" spans="1:18" x14ac:dyDescent="0.25">
      <c r="A15" s="1" t="s">
        <v>457</v>
      </c>
      <c r="B15" s="1"/>
      <c r="C15" s="1">
        <v>5000238786</v>
      </c>
      <c r="D15" s="1">
        <v>105</v>
      </c>
      <c r="E15" s="25" t="s">
        <v>7</v>
      </c>
      <c r="F15" s="1" t="s">
        <v>372</v>
      </c>
      <c r="G15" s="1">
        <v>465.9</v>
      </c>
      <c r="H15" s="1"/>
      <c r="I15" s="25">
        <v>163.30000000000001</v>
      </c>
      <c r="J15" s="25">
        <v>164.5</v>
      </c>
      <c r="K15" s="12">
        <f t="shared" si="4"/>
        <v>1.1999999999999886</v>
      </c>
      <c r="L15" s="12">
        <f t="shared" si="5"/>
        <v>559.0799999999947</v>
      </c>
      <c r="M15" s="9">
        <v>15.5</v>
      </c>
      <c r="N15" s="9">
        <v>15.09</v>
      </c>
      <c r="O15" s="7">
        <f t="shared" si="6"/>
        <v>30.058064516129029</v>
      </c>
      <c r="P15" s="7">
        <f t="shared" si="7"/>
        <v>30.874751491053676</v>
      </c>
      <c r="Q15" s="7">
        <f t="shared" si="8"/>
        <v>0.81668697492464659</v>
      </c>
      <c r="R15" s="10">
        <f t="shared" si="9"/>
        <v>2082.3476143141174</v>
      </c>
    </row>
    <row r="16" spans="1:18" x14ac:dyDescent="0.25">
      <c r="A16" s="1" t="s">
        <v>457</v>
      </c>
      <c r="B16" s="1"/>
      <c r="C16" s="1">
        <v>5000238787</v>
      </c>
      <c r="D16" s="1">
        <v>105</v>
      </c>
      <c r="E16" s="25" t="s">
        <v>7</v>
      </c>
      <c r="F16" s="1" t="s">
        <v>372</v>
      </c>
      <c r="G16" s="1">
        <v>101.8</v>
      </c>
      <c r="H16" s="1"/>
      <c r="I16" s="25">
        <v>163.30000000000001</v>
      </c>
      <c r="J16" s="25">
        <v>164.5</v>
      </c>
      <c r="K16" s="12">
        <f t="shared" si="4"/>
        <v>1.1999999999999886</v>
      </c>
      <c r="L16" s="12">
        <f t="shared" si="5"/>
        <v>122.15999999999885</v>
      </c>
      <c r="M16" s="9">
        <v>15.5</v>
      </c>
      <c r="N16" s="9">
        <v>15.09</v>
      </c>
      <c r="O16" s="7">
        <f t="shared" si="6"/>
        <v>6.5677419354838706</v>
      </c>
      <c r="P16" s="7">
        <f t="shared" si="7"/>
        <v>6.7461895294897278</v>
      </c>
      <c r="Q16" s="7">
        <f t="shared" si="8"/>
        <v>0.17844759400585719</v>
      </c>
      <c r="R16" s="10">
        <f t="shared" si="9"/>
        <v>454.99675281643437</v>
      </c>
    </row>
    <row r="17" spans="1:18" x14ac:dyDescent="0.25">
      <c r="A17" s="1" t="s">
        <v>456</v>
      </c>
      <c r="B17" s="1"/>
      <c r="C17" s="1">
        <v>5000239494</v>
      </c>
      <c r="D17" s="1">
        <v>105</v>
      </c>
      <c r="E17" s="25" t="s">
        <v>11</v>
      </c>
      <c r="F17" s="1" t="s">
        <v>455</v>
      </c>
      <c r="G17" s="1">
        <v>520</v>
      </c>
      <c r="H17" s="1"/>
      <c r="I17" s="25">
        <v>163.30000000000001</v>
      </c>
      <c r="J17" s="25">
        <v>164.5</v>
      </c>
      <c r="K17" s="12">
        <f t="shared" si="4"/>
        <v>1.1999999999999886</v>
      </c>
      <c r="L17" s="12">
        <f t="shared" si="5"/>
        <v>623.99999999999409</v>
      </c>
      <c r="M17" s="9">
        <v>20.8</v>
      </c>
      <c r="N17" s="9">
        <v>19.559999999999999</v>
      </c>
      <c r="O17" s="7">
        <f t="shared" si="6"/>
        <v>25</v>
      </c>
      <c r="P17" s="7">
        <f t="shared" si="7"/>
        <v>26.584867075664622</v>
      </c>
      <c r="Q17" s="7">
        <f t="shared" si="8"/>
        <v>1.5848670756646221</v>
      </c>
      <c r="R17" s="10">
        <f t="shared" si="9"/>
        <v>5422.781186094071</v>
      </c>
    </row>
    <row r="18" spans="1:18" x14ac:dyDescent="0.25">
      <c r="A18" s="1" t="s">
        <v>456</v>
      </c>
      <c r="B18" s="1"/>
      <c r="C18" s="1">
        <v>5000239494</v>
      </c>
      <c r="D18" s="1">
        <v>105</v>
      </c>
      <c r="E18" s="25" t="s">
        <v>11</v>
      </c>
      <c r="F18" s="1" t="s">
        <v>455</v>
      </c>
      <c r="G18" s="1">
        <v>510</v>
      </c>
      <c r="H18" s="1"/>
      <c r="I18" s="25">
        <v>163.30000000000001</v>
      </c>
      <c r="J18" s="25">
        <v>164.5</v>
      </c>
      <c r="K18" s="12">
        <f t="shared" si="4"/>
        <v>1.1999999999999886</v>
      </c>
      <c r="L18" s="12">
        <f t="shared" si="5"/>
        <v>611.9999999999942</v>
      </c>
      <c r="M18" s="9">
        <v>20.8</v>
      </c>
      <c r="N18" s="9">
        <v>19.559999999999999</v>
      </c>
      <c r="O18" s="7">
        <f t="shared" si="6"/>
        <v>24.51923076923077</v>
      </c>
      <c r="P18" s="7">
        <f t="shared" si="7"/>
        <v>26.073619631901842</v>
      </c>
      <c r="Q18" s="7">
        <f t="shared" si="8"/>
        <v>1.5543888626710718</v>
      </c>
      <c r="R18" s="10">
        <f t="shared" si="9"/>
        <v>5318.4969325153388</v>
      </c>
    </row>
    <row r="19" spans="1:18" x14ac:dyDescent="0.25">
      <c r="A19" s="1" t="s">
        <v>454</v>
      </c>
      <c r="B19" s="1"/>
      <c r="C19" s="1">
        <v>5000243876</v>
      </c>
      <c r="D19" s="1">
        <v>105</v>
      </c>
      <c r="E19" s="25" t="s">
        <v>5</v>
      </c>
      <c r="F19" s="1" t="s">
        <v>372</v>
      </c>
      <c r="G19" s="1">
        <v>242.7</v>
      </c>
      <c r="H19" s="1"/>
      <c r="I19" s="25">
        <v>163.30000000000001</v>
      </c>
      <c r="J19" s="25">
        <v>164.5</v>
      </c>
      <c r="K19" s="12">
        <f t="shared" si="4"/>
        <v>1.1999999999999886</v>
      </c>
      <c r="L19" s="12">
        <f t="shared" si="5"/>
        <v>291.23999999999722</v>
      </c>
      <c r="M19" s="9">
        <v>20.8</v>
      </c>
      <c r="N19" s="9">
        <v>19.559999999999999</v>
      </c>
      <c r="O19" s="7">
        <f t="shared" si="6"/>
        <v>11.66826923076923</v>
      </c>
      <c r="P19" s="7">
        <f t="shared" si="7"/>
        <v>12.407975460122699</v>
      </c>
      <c r="Q19" s="7">
        <f t="shared" si="8"/>
        <v>0.73970622935346952</v>
      </c>
      <c r="R19" s="10">
        <f t="shared" si="9"/>
        <v>2530.9788343558312</v>
      </c>
    </row>
    <row r="20" spans="1:18" x14ac:dyDescent="0.25">
      <c r="A20" s="1" t="s">
        <v>451</v>
      </c>
      <c r="B20" s="1"/>
      <c r="C20" s="1">
        <v>5000240553</v>
      </c>
      <c r="D20" s="1">
        <v>105</v>
      </c>
      <c r="E20" s="25" t="s">
        <v>19</v>
      </c>
      <c r="F20" s="1" t="s">
        <v>372</v>
      </c>
      <c r="G20" s="1">
        <v>298.2</v>
      </c>
      <c r="H20" s="1"/>
      <c r="I20" s="25">
        <v>163.30000000000001</v>
      </c>
      <c r="J20" s="25">
        <v>164.5</v>
      </c>
      <c r="K20" s="12">
        <f t="shared" si="4"/>
        <v>1.1999999999999886</v>
      </c>
      <c r="L20" s="12">
        <f t="shared" si="5"/>
        <v>357.83999999999662</v>
      </c>
      <c r="M20" s="9">
        <v>26</v>
      </c>
      <c r="N20" s="9">
        <v>24.67</v>
      </c>
      <c r="O20" s="7">
        <f t="shared" si="6"/>
        <v>11.469230769230769</v>
      </c>
      <c r="P20" s="7">
        <f t="shared" si="7"/>
        <v>12.087555735711389</v>
      </c>
      <c r="Q20" s="7">
        <f t="shared" si="8"/>
        <v>0.61832496648061941</v>
      </c>
      <c r="R20" s="10">
        <f t="shared" si="9"/>
        <v>2644.5758816376092</v>
      </c>
    </row>
    <row r="21" spans="1:18" x14ac:dyDescent="0.25">
      <c r="A21" s="1" t="s">
        <v>458</v>
      </c>
      <c r="B21" s="1"/>
      <c r="C21" s="1">
        <v>5000239345</v>
      </c>
      <c r="D21" s="1">
        <v>105</v>
      </c>
      <c r="E21" s="25" t="s">
        <v>19</v>
      </c>
      <c r="F21" s="1" t="s">
        <v>459</v>
      </c>
      <c r="G21" s="3">
        <v>1600.9</v>
      </c>
      <c r="H21" s="3"/>
      <c r="I21" s="25">
        <v>163.30000000000001</v>
      </c>
      <c r="J21" s="25">
        <v>164.5</v>
      </c>
      <c r="K21" s="12">
        <f t="shared" si="4"/>
        <v>1.1999999999999886</v>
      </c>
      <c r="L21" s="12">
        <f t="shared" si="5"/>
        <v>1921.079999999982</v>
      </c>
      <c r="M21" s="9">
        <v>26</v>
      </c>
      <c r="N21" s="9">
        <v>24.67</v>
      </c>
      <c r="O21" s="7">
        <f t="shared" si="6"/>
        <v>61.573076923076925</v>
      </c>
      <c r="P21" s="7">
        <f t="shared" si="7"/>
        <v>64.892582083502234</v>
      </c>
      <c r="Q21" s="7">
        <f t="shared" si="8"/>
        <v>3.3195051604253081</v>
      </c>
      <c r="R21" s="10">
        <f>Q21*M21*J21</f>
        <v>14197.523571139043</v>
      </c>
    </row>
    <row r="22" spans="1:18" x14ac:dyDescent="0.25">
      <c r="A22" s="1" t="s">
        <v>457</v>
      </c>
      <c r="B22" s="1"/>
      <c r="C22" s="1">
        <v>5000238786</v>
      </c>
      <c r="D22" s="1">
        <v>105</v>
      </c>
      <c r="E22" s="25" t="s">
        <v>19</v>
      </c>
      <c r="F22" s="1" t="s">
        <v>372</v>
      </c>
      <c r="G22" s="1">
        <v>401.7</v>
      </c>
      <c r="H22" s="1"/>
      <c r="I22" s="25">
        <v>163.30000000000001</v>
      </c>
      <c r="J22" s="25">
        <v>164.5</v>
      </c>
      <c r="K22" s="12">
        <f t="shared" si="4"/>
        <v>1.1999999999999886</v>
      </c>
      <c r="L22" s="12">
        <f t="shared" si="5"/>
        <v>482.03999999999542</v>
      </c>
      <c r="M22" s="9">
        <v>26</v>
      </c>
      <c r="N22" s="9">
        <v>24.67</v>
      </c>
      <c r="O22" s="7">
        <f t="shared" si="6"/>
        <v>15.45</v>
      </c>
      <c r="P22" s="7">
        <f t="shared" si="7"/>
        <v>16.282934738548843</v>
      </c>
      <c r="Q22" s="7">
        <f t="shared" si="8"/>
        <v>0.83293473854884326</v>
      </c>
      <c r="R22" s="10">
        <f t="shared" si="9"/>
        <v>3562.4618767734028</v>
      </c>
    </row>
    <row r="23" spans="1:18" x14ac:dyDescent="0.25">
      <c r="A23" s="1" t="s">
        <v>460</v>
      </c>
      <c r="B23" s="1"/>
      <c r="C23" s="1">
        <v>5000243494</v>
      </c>
      <c r="D23" s="1">
        <v>105</v>
      </c>
      <c r="E23" s="25" t="s">
        <v>461</v>
      </c>
      <c r="F23" s="1" t="s">
        <v>462</v>
      </c>
      <c r="G23" s="1">
        <v>414.7</v>
      </c>
      <c r="H23" s="1"/>
      <c r="I23" s="25">
        <v>163.30000000000001</v>
      </c>
      <c r="J23" s="25">
        <v>164.5</v>
      </c>
      <c r="K23" s="12">
        <f t="shared" si="4"/>
        <v>1.1999999999999886</v>
      </c>
      <c r="L23" s="12">
        <f t="shared" si="5"/>
        <v>497.63999999999527</v>
      </c>
      <c r="M23" s="9">
        <v>15.5</v>
      </c>
      <c r="N23" s="9">
        <v>15.09</v>
      </c>
      <c r="O23" s="7">
        <f t="shared" si="6"/>
        <v>26.754838709677419</v>
      </c>
      <c r="P23" s="7">
        <f t="shared" si="7"/>
        <v>27.481776010603049</v>
      </c>
      <c r="Q23" s="7">
        <f t="shared" si="8"/>
        <v>0.72693730092563058</v>
      </c>
      <c r="R23" s="10">
        <f t="shared" si="9"/>
        <v>1853.5083830351266</v>
      </c>
    </row>
    <row r="24" spans="1:18" x14ac:dyDescent="0.25">
      <c r="A24" s="1" t="s">
        <v>460</v>
      </c>
      <c r="B24" s="1"/>
      <c r="C24" s="1">
        <v>5000243499</v>
      </c>
      <c r="D24" s="1">
        <v>105</v>
      </c>
      <c r="E24" s="25" t="s">
        <v>461</v>
      </c>
      <c r="F24" s="1" t="s">
        <v>462</v>
      </c>
      <c r="G24" s="1">
        <v>618.20000000000005</v>
      </c>
      <c r="H24" s="1"/>
      <c r="I24" s="25">
        <v>163.30000000000001</v>
      </c>
      <c r="J24" s="25">
        <v>164.5</v>
      </c>
      <c r="K24" s="12">
        <f t="shared" si="4"/>
        <v>1.1999999999999886</v>
      </c>
      <c r="L24" s="12">
        <f t="shared" si="5"/>
        <v>741.83999999999298</v>
      </c>
      <c r="M24" s="9">
        <v>15.5</v>
      </c>
      <c r="N24" s="9">
        <v>15.09</v>
      </c>
      <c r="O24" s="7">
        <f t="shared" si="6"/>
        <v>39.883870967741942</v>
      </c>
      <c r="P24" s="7">
        <f t="shared" si="7"/>
        <v>40.96752816434725</v>
      </c>
      <c r="Q24" s="7">
        <f t="shared" si="8"/>
        <v>1.0836571966053086</v>
      </c>
      <c r="R24" s="10">
        <f t="shared" si="9"/>
        <v>2763.0549370443855</v>
      </c>
    </row>
    <row r="25" spans="1:18" x14ac:dyDescent="0.25">
      <c r="A25" s="1"/>
      <c r="B25" s="1"/>
      <c r="C25" s="1"/>
      <c r="D25" s="1"/>
      <c r="E25" s="25"/>
      <c r="F25" s="1"/>
      <c r="G25" s="1"/>
      <c r="H25" s="1"/>
      <c r="I25" s="25"/>
      <c r="J25" s="25"/>
      <c r="K25" s="12"/>
      <c r="L25" s="12"/>
      <c r="M25" s="17"/>
      <c r="N25" s="17"/>
      <c r="O25" s="17"/>
      <c r="P25" s="17"/>
      <c r="Q25" s="17"/>
      <c r="R25" s="17"/>
    </row>
    <row r="26" spans="1:18" x14ac:dyDescent="0.25">
      <c r="A26" s="1"/>
      <c r="B26" s="1"/>
      <c r="C26" s="1"/>
      <c r="D26" s="1"/>
      <c r="E26" s="1"/>
      <c r="F26" s="1"/>
      <c r="G26" s="1">
        <f>SUM(G5:G25)</f>
        <v>11416.700000000003</v>
      </c>
      <c r="H26" s="1"/>
      <c r="I26" s="25"/>
      <c r="J26" s="25"/>
      <c r="K26" s="126" t="s">
        <v>21</v>
      </c>
      <c r="L26" s="126">
        <f>SUM(L5:L24)</f>
        <v>13700.039999999872</v>
      </c>
      <c r="M26" s="17"/>
      <c r="N26" s="17"/>
      <c r="O26" s="17"/>
      <c r="P26" s="17"/>
      <c r="Q26" s="17"/>
      <c r="R26" s="130">
        <f>SUM(R5:R25)</f>
        <v>79784.492616057818</v>
      </c>
    </row>
    <row r="27" spans="1:18" x14ac:dyDescent="0.25">
      <c r="A27" s="8"/>
      <c r="B27" s="1"/>
      <c r="C27" s="1"/>
      <c r="D27" s="1"/>
      <c r="E27" s="1"/>
      <c r="F27" s="1"/>
      <c r="G27" s="1"/>
      <c r="H27" s="1"/>
      <c r="I27" s="25"/>
      <c r="J27" s="25"/>
      <c r="K27" s="12"/>
      <c r="L27" s="12"/>
      <c r="M27" s="17"/>
      <c r="N27" s="130">
        <f>L26+R26</f>
        <v>93484.532616057695</v>
      </c>
      <c r="O27" s="17"/>
      <c r="P27" s="17"/>
      <c r="Q27" s="17"/>
      <c r="R27" s="17"/>
    </row>
    <row r="28" spans="1:18" x14ac:dyDescent="0.25">
      <c r="A28" s="6" t="s">
        <v>166</v>
      </c>
      <c r="B28" s="1"/>
      <c r="C28" s="1"/>
      <c r="D28" s="1"/>
      <c r="E28" s="1"/>
      <c r="F28" s="1"/>
      <c r="G28" s="1"/>
      <c r="H28" s="1"/>
      <c r="I28" s="25"/>
      <c r="J28" s="25"/>
      <c r="K28" s="12"/>
      <c r="L28" s="12"/>
      <c r="M28" s="17"/>
      <c r="N28" s="17"/>
      <c r="O28" s="17"/>
      <c r="P28" s="17"/>
      <c r="Q28" s="17"/>
      <c r="R28" s="17"/>
    </row>
    <row r="29" spans="1:18" x14ac:dyDescent="0.25">
      <c r="A29" s="1" t="s">
        <v>436</v>
      </c>
      <c r="B29" s="1"/>
      <c r="C29" s="1" t="s">
        <v>172</v>
      </c>
      <c r="D29" s="1" t="s">
        <v>167</v>
      </c>
      <c r="E29" s="1" t="s">
        <v>169</v>
      </c>
      <c r="F29" s="1"/>
      <c r="G29" s="1" t="s">
        <v>22</v>
      </c>
      <c r="H29" s="1"/>
      <c r="I29" s="25" t="s">
        <v>463</v>
      </c>
      <c r="J29" s="25" t="s">
        <v>464</v>
      </c>
      <c r="K29" s="12" t="s">
        <v>465</v>
      </c>
      <c r="L29" s="12" t="s">
        <v>21</v>
      </c>
      <c r="M29" s="17"/>
      <c r="N29" s="17"/>
      <c r="O29" s="17"/>
      <c r="P29" s="17"/>
      <c r="Q29" s="17"/>
      <c r="R29" s="17"/>
    </row>
    <row r="30" spans="1:18" x14ac:dyDescent="0.25">
      <c r="A30" s="1" t="s">
        <v>451</v>
      </c>
      <c r="B30" s="1"/>
      <c r="C30" s="1">
        <v>5000240553</v>
      </c>
      <c r="D30" s="1">
        <v>105</v>
      </c>
      <c r="E30" s="25" t="s">
        <v>8</v>
      </c>
      <c r="F30" s="1" t="s">
        <v>372</v>
      </c>
      <c r="G30" s="1">
        <v>619.4</v>
      </c>
      <c r="H30" s="1"/>
      <c r="I30" s="25">
        <v>163.30000000000001</v>
      </c>
      <c r="J30" s="25">
        <v>177.8</v>
      </c>
      <c r="K30" s="12">
        <f>J30-I30</f>
        <v>14.5</v>
      </c>
      <c r="L30" s="12">
        <f>G30*K30</f>
        <v>8981.2999999999993</v>
      </c>
      <c r="M30" s="17"/>
      <c r="N30" s="17"/>
      <c r="O30" s="17"/>
      <c r="P30" s="17"/>
      <c r="Q30" s="17"/>
      <c r="R30" s="17"/>
    </row>
    <row r="31" spans="1:18" x14ac:dyDescent="0.25">
      <c r="A31" s="1" t="s">
        <v>452</v>
      </c>
      <c r="B31" s="1"/>
      <c r="C31" s="1">
        <v>5000239966</v>
      </c>
      <c r="D31" s="1">
        <v>105</v>
      </c>
      <c r="E31" s="25" t="s">
        <v>8</v>
      </c>
      <c r="F31" s="1" t="s">
        <v>453</v>
      </c>
      <c r="G31" s="1">
        <v>646.4</v>
      </c>
      <c r="H31" s="1"/>
      <c r="I31" s="25">
        <v>163.30000000000001</v>
      </c>
      <c r="J31" s="25">
        <v>177.8</v>
      </c>
      <c r="K31" s="12">
        <f t="shared" ref="K31:K49" si="10">J31-I31</f>
        <v>14.5</v>
      </c>
      <c r="L31" s="12">
        <f t="shared" ref="L31:L49" si="11">G31*K31</f>
        <v>9372.7999999999993</v>
      </c>
      <c r="M31" s="17"/>
      <c r="N31" s="17"/>
      <c r="O31" s="17"/>
      <c r="P31" s="17"/>
      <c r="Q31" s="17"/>
      <c r="R31" s="17"/>
    </row>
    <row r="32" spans="1:18" x14ac:dyDescent="0.25">
      <c r="A32" s="1" t="s">
        <v>452</v>
      </c>
      <c r="B32" s="1"/>
      <c r="C32" s="1">
        <v>5000239966</v>
      </c>
      <c r="D32" s="1">
        <v>105</v>
      </c>
      <c r="E32" s="25" t="s">
        <v>8</v>
      </c>
      <c r="F32" s="1" t="s">
        <v>453</v>
      </c>
      <c r="G32" s="1">
        <v>500</v>
      </c>
      <c r="H32" s="1"/>
      <c r="I32" s="25">
        <v>163.30000000000001</v>
      </c>
      <c r="J32" s="25">
        <v>177.8</v>
      </c>
      <c r="K32" s="12">
        <f t="shared" si="10"/>
        <v>14.5</v>
      </c>
      <c r="L32" s="12">
        <f t="shared" si="11"/>
        <v>7250</v>
      </c>
      <c r="M32" s="17"/>
      <c r="N32" s="17"/>
      <c r="O32" s="17"/>
      <c r="P32" s="17"/>
      <c r="Q32" s="17"/>
      <c r="R32" s="17"/>
    </row>
    <row r="33" spans="1:18" x14ac:dyDescent="0.25">
      <c r="A33" s="1" t="s">
        <v>454</v>
      </c>
      <c r="B33" s="1"/>
      <c r="C33" s="1">
        <v>5000243876</v>
      </c>
      <c r="D33" s="1">
        <v>105</v>
      </c>
      <c r="E33" s="25" t="s">
        <v>13</v>
      </c>
      <c r="F33" s="1" t="s">
        <v>372</v>
      </c>
      <c r="G33" s="1">
        <v>301.60000000000002</v>
      </c>
      <c r="H33" s="1"/>
      <c r="I33" s="25">
        <v>163.30000000000001</v>
      </c>
      <c r="J33" s="25">
        <v>177.8</v>
      </c>
      <c r="K33" s="12">
        <f t="shared" si="10"/>
        <v>14.5</v>
      </c>
      <c r="L33" s="12">
        <f t="shared" si="11"/>
        <v>4373.2000000000007</v>
      </c>
      <c r="M33" s="17"/>
      <c r="N33" s="17"/>
      <c r="O33" s="17"/>
      <c r="P33" s="17"/>
      <c r="Q33" s="17"/>
      <c r="R33" s="17"/>
    </row>
    <row r="34" spans="1:18" x14ac:dyDescent="0.25">
      <c r="A34" s="1" t="s">
        <v>452</v>
      </c>
      <c r="B34" s="1"/>
      <c r="C34" s="1">
        <v>5000239961</v>
      </c>
      <c r="D34" s="1">
        <v>105</v>
      </c>
      <c r="E34" s="25" t="s">
        <v>13</v>
      </c>
      <c r="F34" s="1" t="s">
        <v>455</v>
      </c>
      <c r="G34" s="1">
        <v>710</v>
      </c>
      <c r="H34" s="1"/>
      <c r="I34" s="25">
        <v>163.30000000000001</v>
      </c>
      <c r="J34" s="25">
        <v>177.8</v>
      </c>
      <c r="K34" s="12">
        <f t="shared" si="10"/>
        <v>14.5</v>
      </c>
      <c r="L34" s="12">
        <f t="shared" si="11"/>
        <v>10295</v>
      </c>
      <c r="M34" s="17"/>
      <c r="N34" s="17"/>
      <c r="O34" s="17"/>
      <c r="P34" s="17"/>
      <c r="Q34" s="17"/>
      <c r="R34" s="17"/>
    </row>
    <row r="35" spans="1:18" x14ac:dyDescent="0.25">
      <c r="A35" s="1" t="s">
        <v>452</v>
      </c>
      <c r="B35" s="1"/>
      <c r="C35" s="1">
        <v>5000239961</v>
      </c>
      <c r="D35" s="1">
        <v>105</v>
      </c>
      <c r="E35" s="25" t="s">
        <v>13</v>
      </c>
      <c r="F35" s="1" t="s">
        <v>455</v>
      </c>
      <c r="G35" s="1">
        <v>22</v>
      </c>
      <c r="H35" s="1"/>
      <c r="I35" s="25">
        <v>163.30000000000001</v>
      </c>
      <c r="J35" s="25">
        <v>177.8</v>
      </c>
      <c r="K35" s="12">
        <f t="shared" si="10"/>
        <v>14.5</v>
      </c>
      <c r="L35" s="12">
        <f t="shared" si="11"/>
        <v>319</v>
      </c>
      <c r="M35" s="17"/>
      <c r="N35" s="17"/>
      <c r="O35" s="17"/>
      <c r="P35" s="17"/>
      <c r="Q35" s="17"/>
      <c r="R35" s="17"/>
    </row>
    <row r="36" spans="1:18" x14ac:dyDescent="0.25">
      <c r="A36" s="1" t="s">
        <v>456</v>
      </c>
      <c r="B36" s="1"/>
      <c r="C36" s="1">
        <v>5000239494</v>
      </c>
      <c r="D36" s="1">
        <v>105</v>
      </c>
      <c r="E36" s="25" t="s">
        <v>13</v>
      </c>
      <c r="F36" s="1" t="s">
        <v>455</v>
      </c>
      <c r="G36" s="3">
        <v>2039.7</v>
      </c>
      <c r="H36" s="3"/>
      <c r="I36" s="25">
        <v>163.30000000000001</v>
      </c>
      <c r="J36" s="25">
        <v>177.8</v>
      </c>
      <c r="K36" s="12">
        <f t="shared" si="10"/>
        <v>14.5</v>
      </c>
      <c r="L36" s="12">
        <f t="shared" si="11"/>
        <v>29575.65</v>
      </c>
      <c r="M36" s="17"/>
      <c r="N36" s="17"/>
      <c r="O36" s="17"/>
      <c r="P36" s="17"/>
      <c r="Q36" s="17"/>
      <c r="R36" s="17"/>
    </row>
    <row r="37" spans="1:18" x14ac:dyDescent="0.25">
      <c r="A37" s="1" t="s">
        <v>451</v>
      </c>
      <c r="B37" s="1"/>
      <c r="C37" s="1">
        <v>5000240553</v>
      </c>
      <c r="D37" s="1">
        <v>105</v>
      </c>
      <c r="E37" s="25" t="s">
        <v>7</v>
      </c>
      <c r="F37" s="1" t="s">
        <v>372</v>
      </c>
      <c r="G37" s="1">
        <v>383.5</v>
      </c>
      <c r="H37" s="1"/>
      <c r="I37" s="25">
        <v>163.30000000000001</v>
      </c>
      <c r="J37" s="25">
        <v>177.8</v>
      </c>
      <c r="K37" s="12">
        <f t="shared" si="10"/>
        <v>14.5</v>
      </c>
      <c r="L37" s="12">
        <f t="shared" si="11"/>
        <v>5560.75</v>
      </c>
      <c r="M37" s="17"/>
      <c r="N37" s="17"/>
      <c r="O37" s="17"/>
      <c r="P37" s="17"/>
      <c r="Q37" s="17"/>
      <c r="R37" s="17"/>
    </row>
    <row r="38" spans="1:18" x14ac:dyDescent="0.25">
      <c r="A38" s="1" t="s">
        <v>457</v>
      </c>
      <c r="B38" s="1"/>
      <c r="C38" s="1">
        <v>5000238786</v>
      </c>
      <c r="D38" s="1">
        <v>105</v>
      </c>
      <c r="E38" s="25" t="s">
        <v>7</v>
      </c>
      <c r="F38" s="1" t="s">
        <v>372</v>
      </c>
      <c r="G38" s="1">
        <v>510</v>
      </c>
      <c r="H38" s="1"/>
      <c r="I38" s="25">
        <v>163.30000000000001</v>
      </c>
      <c r="J38" s="25">
        <v>177.8</v>
      </c>
      <c r="K38" s="12">
        <f t="shared" si="10"/>
        <v>14.5</v>
      </c>
      <c r="L38" s="12">
        <f t="shared" si="11"/>
        <v>7395</v>
      </c>
      <c r="M38" s="17"/>
      <c r="N38" s="17"/>
      <c r="O38" s="17"/>
      <c r="P38" s="17"/>
      <c r="Q38" s="17"/>
      <c r="R38" s="17"/>
    </row>
    <row r="39" spans="1:18" x14ac:dyDescent="0.25">
      <c r="A39" s="1" t="s">
        <v>457</v>
      </c>
      <c r="B39" s="1"/>
      <c r="C39" s="1">
        <v>5000238786</v>
      </c>
      <c r="D39" s="1">
        <v>105</v>
      </c>
      <c r="E39" s="25" t="s">
        <v>7</v>
      </c>
      <c r="F39" s="1" t="s">
        <v>372</v>
      </c>
      <c r="G39" s="1">
        <v>510</v>
      </c>
      <c r="H39" s="1"/>
      <c r="I39" s="25">
        <v>163.30000000000001</v>
      </c>
      <c r="J39" s="25">
        <v>177.8</v>
      </c>
      <c r="K39" s="12">
        <f t="shared" si="10"/>
        <v>14.5</v>
      </c>
      <c r="L39" s="12">
        <f t="shared" si="11"/>
        <v>7395</v>
      </c>
      <c r="M39" s="17"/>
      <c r="N39" s="17"/>
      <c r="O39" s="17"/>
      <c r="P39" s="17"/>
      <c r="Q39" s="17"/>
      <c r="R39" s="17"/>
    </row>
    <row r="40" spans="1:18" x14ac:dyDescent="0.25">
      <c r="A40" s="1" t="s">
        <v>457</v>
      </c>
      <c r="B40" s="1"/>
      <c r="C40" s="1">
        <v>5000238786</v>
      </c>
      <c r="D40" s="1">
        <v>105</v>
      </c>
      <c r="E40" s="25" t="s">
        <v>7</v>
      </c>
      <c r="F40" s="1" t="s">
        <v>372</v>
      </c>
      <c r="G40" s="1">
        <v>465.9</v>
      </c>
      <c r="H40" s="1"/>
      <c r="I40" s="25">
        <v>163.30000000000001</v>
      </c>
      <c r="J40" s="25">
        <v>177.8</v>
      </c>
      <c r="K40" s="12">
        <f t="shared" si="10"/>
        <v>14.5</v>
      </c>
      <c r="L40" s="12">
        <f t="shared" si="11"/>
        <v>6755.5499999999993</v>
      </c>
      <c r="M40" s="17"/>
      <c r="N40" s="17"/>
      <c r="O40" s="17"/>
      <c r="P40" s="17"/>
      <c r="Q40" s="17"/>
      <c r="R40" s="17"/>
    </row>
    <row r="41" spans="1:18" x14ac:dyDescent="0.25">
      <c r="A41" s="1" t="s">
        <v>457</v>
      </c>
      <c r="B41" s="1"/>
      <c r="C41" s="1">
        <v>5000238787</v>
      </c>
      <c r="D41" s="1">
        <v>105</v>
      </c>
      <c r="E41" s="25" t="s">
        <v>7</v>
      </c>
      <c r="F41" s="1" t="s">
        <v>372</v>
      </c>
      <c r="G41" s="1">
        <v>101.8</v>
      </c>
      <c r="H41" s="1"/>
      <c r="I41" s="25">
        <v>163.30000000000001</v>
      </c>
      <c r="J41" s="25">
        <v>177.8</v>
      </c>
      <c r="K41" s="12">
        <f t="shared" si="10"/>
        <v>14.5</v>
      </c>
      <c r="L41" s="12">
        <f t="shared" si="11"/>
        <v>1476.1</v>
      </c>
      <c r="M41" s="17"/>
      <c r="N41" s="17"/>
      <c r="O41" s="17"/>
      <c r="P41" s="17"/>
      <c r="Q41" s="17"/>
      <c r="R41" s="17"/>
    </row>
    <row r="42" spans="1:18" x14ac:dyDescent="0.25">
      <c r="A42" s="1" t="s">
        <v>456</v>
      </c>
      <c r="B42" s="1"/>
      <c r="C42" s="1">
        <v>5000239494</v>
      </c>
      <c r="D42" s="1">
        <v>105</v>
      </c>
      <c r="E42" s="25" t="s">
        <v>11</v>
      </c>
      <c r="F42" s="1" t="s">
        <v>455</v>
      </c>
      <c r="G42" s="1">
        <v>520</v>
      </c>
      <c r="H42" s="1"/>
      <c r="I42" s="25">
        <v>163.30000000000001</v>
      </c>
      <c r="J42" s="25">
        <v>177.8</v>
      </c>
      <c r="K42" s="12">
        <f t="shared" si="10"/>
        <v>14.5</v>
      </c>
      <c r="L42" s="12">
        <f t="shared" si="11"/>
        <v>7540</v>
      </c>
      <c r="M42" s="17"/>
      <c r="N42" s="17"/>
      <c r="O42" s="17"/>
      <c r="P42" s="17"/>
      <c r="Q42" s="17"/>
      <c r="R42" s="17"/>
    </row>
    <row r="43" spans="1:18" x14ac:dyDescent="0.25">
      <c r="A43" s="1" t="s">
        <v>456</v>
      </c>
      <c r="B43" s="1"/>
      <c r="C43" s="1">
        <v>5000239494</v>
      </c>
      <c r="D43" s="1">
        <v>105</v>
      </c>
      <c r="E43" s="25" t="s">
        <v>11</v>
      </c>
      <c r="F43" s="1" t="s">
        <v>455</v>
      </c>
      <c r="G43" s="1">
        <v>510</v>
      </c>
      <c r="H43" s="1"/>
      <c r="I43" s="25">
        <v>163.30000000000001</v>
      </c>
      <c r="J43" s="25">
        <v>177.8</v>
      </c>
      <c r="K43" s="12">
        <f t="shared" si="10"/>
        <v>14.5</v>
      </c>
      <c r="L43" s="12">
        <f t="shared" si="11"/>
        <v>7395</v>
      </c>
      <c r="M43" s="17"/>
      <c r="N43" s="17"/>
      <c r="O43" s="17"/>
      <c r="P43" s="17"/>
      <c r="Q43" s="17"/>
      <c r="R43" s="17"/>
    </row>
    <row r="44" spans="1:18" x14ac:dyDescent="0.25">
      <c r="A44" s="1" t="s">
        <v>454</v>
      </c>
      <c r="B44" s="1"/>
      <c r="C44" s="1">
        <v>5000243876</v>
      </c>
      <c r="D44" s="1">
        <v>105</v>
      </c>
      <c r="E44" s="25" t="s">
        <v>5</v>
      </c>
      <c r="F44" s="1" t="s">
        <v>372</v>
      </c>
      <c r="G44" s="1">
        <v>242.7</v>
      </c>
      <c r="H44" s="1"/>
      <c r="I44" s="25">
        <v>163.30000000000001</v>
      </c>
      <c r="J44" s="25">
        <v>177.8</v>
      </c>
      <c r="K44" s="12">
        <f t="shared" si="10"/>
        <v>14.5</v>
      </c>
      <c r="L44" s="12">
        <f t="shared" si="11"/>
        <v>3519.1499999999996</v>
      </c>
      <c r="M44" s="17"/>
      <c r="N44" s="17"/>
      <c r="O44" s="17"/>
      <c r="P44" s="17"/>
      <c r="Q44" s="17"/>
      <c r="R44" s="17"/>
    </row>
    <row r="45" spans="1:18" x14ac:dyDescent="0.25">
      <c r="A45" s="1" t="s">
        <v>451</v>
      </c>
      <c r="B45" s="1"/>
      <c r="C45" s="1">
        <v>5000240553</v>
      </c>
      <c r="D45" s="1">
        <v>105</v>
      </c>
      <c r="E45" s="25" t="s">
        <v>19</v>
      </c>
      <c r="F45" s="1" t="s">
        <v>372</v>
      </c>
      <c r="G45" s="1">
        <v>298.2</v>
      </c>
      <c r="H45" s="1"/>
      <c r="I45" s="25">
        <v>163.30000000000001</v>
      </c>
      <c r="J45" s="25">
        <v>177.8</v>
      </c>
      <c r="K45" s="12">
        <f t="shared" si="10"/>
        <v>14.5</v>
      </c>
      <c r="L45" s="12">
        <f t="shared" si="11"/>
        <v>4323.8999999999996</v>
      </c>
      <c r="M45" s="17"/>
      <c r="N45" s="17"/>
      <c r="O45" s="17"/>
      <c r="P45" s="17"/>
      <c r="Q45" s="17"/>
      <c r="R45" s="17"/>
    </row>
    <row r="46" spans="1:18" x14ac:dyDescent="0.25">
      <c r="A46" s="1" t="s">
        <v>458</v>
      </c>
      <c r="B46" s="1"/>
      <c r="C46" s="1">
        <v>5000239345</v>
      </c>
      <c r="D46" s="1">
        <v>105</v>
      </c>
      <c r="E46" s="25" t="s">
        <v>19</v>
      </c>
      <c r="F46" s="1" t="s">
        <v>459</v>
      </c>
      <c r="G46" s="3">
        <v>1600.9</v>
      </c>
      <c r="H46" s="3"/>
      <c r="I46" s="25">
        <v>163.30000000000001</v>
      </c>
      <c r="J46" s="25">
        <v>177.8</v>
      </c>
      <c r="K46" s="12">
        <f t="shared" si="10"/>
        <v>14.5</v>
      </c>
      <c r="L46" s="12">
        <f t="shared" si="11"/>
        <v>23213.050000000003</v>
      </c>
      <c r="M46" s="17"/>
      <c r="N46" s="17"/>
      <c r="O46" s="17"/>
      <c r="P46" s="17"/>
      <c r="Q46" s="17"/>
      <c r="R46" s="17"/>
    </row>
    <row r="47" spans="1:18" x14ac:dyDescent="0.25">
      <c r="A47" s="1" t="s">
        <v>457</v>
      </c>
      <c r="B47" s="1"/>
      <c r="C47" s="1">
        <v>5000238786</v>
      </c>
      <c r="D47" s="1">
        <v>105</v>
      </c>
      <c r="E47" s="25" t="s">
        <v>19</v>
      </c>
      <c r="F47" s="1" t="s">
        <v>372</v>
      </c>
      <c r="G47" s="1">
        <v>401.7</v>
      </c>
      <c r="H47" s="1"/>
      <c r="I47" s="25">
        <v>163.30000000000001</v>
      </c>
      <c r="J47" s="25">
        <v>177.8</v>
      </c>
      <c r="K47" s="12">
        <f t="shared" si="10"/>
        <v>14.5</v>
      </c>
      <c r="L47" s="12">
        <f t="shared" si="11"/>
        <v>5824.65</v>
      </c>
      <c r="M47" s="17"/>
      <c r="N47" s="17"/>
      <c r="O47" s="17"/>
      <c r="P47" s="17"/>
      <c r="Q47" s="17"/>
      <c r="R47" s="17"/>
    </row>
    <row r="48" spans="1:18" x14ac:dyDescent="0.25">
      <c r="A48" s="1" t="s">
        <v>460</v>
      </c>
      <c r="B48" s="1"/>
      <c r="C48" s="1">
        <v>5000243494</v>
      </c>
      <c r="D48" s="1">
        <v>105</v>
      </c>
      <c r="E48" s="25" t="s">
        <v>461</v>
      </c>
      <c r="F48" s="1" t="s">
        <v>462</v>
      </c>
      <c r="G48" s="1">
        <v>414.7</v>
      </c>
      <c r="H48" s="1"/>
      <c r="I48" s="25">
        <v>163.30000000000001</v>
      </c>
      <c r="J48" s="25">
        <v>177.8</v>
      </c>
      <c r="K48" s="12">
        <f t="shared" si="10"/>
        <v>14.5</v>
      </c>
      <c r="L48" s="12">
        <f t="shared" si="11"/>
        <v>6013.15</v>
      </c>
      <c r="M48" s="17"/>
      <c r="N48" s="17"/>
      <c r="O48" s="17"/>
      <c r="P48" s="17"/>
      <c r="Q48" s="17"/>
      <c r="R48" s="17"/>
    </row>
    <row r="49" spans="1:18" x14ac:dyDescent="0.25">
      <c r="A49" s="1" t="s">
        <v>460</v>
      </c>
      <c r="B49" s="1"/>
      <c r="C49" s="1">
        <v>5000243499</v>
      </c>
      <c r="D49" s="1">
        <v>105</v>
      </c>
      <c r="E49" s="25" t="s">
        <v>461</v>
      </c>
      <c r="F49" s="1" t="s">
        <v>462</v>
      </c>
      <c r="G49" s="1">
        <v>618.20000000000005</v>
      </c>
      <c r="H49" s="1"/>
      <c r="I49" s="25">
        <v>163.30000000000001</v>
      </c>
      <c r="J49" s="25">
        <v>177.8</v>
      </c>
      <c r="K49" s="12">
        <f t="shared" si="10"/>
        <v>14.5</v>
      </c>
      <c r="L49" s="12">
        <f t="shared" si="11"/>
        <v>8963.9000000000015</v>
      </c>
      <c r="M49" s="17"/>
      <c r="N49" s="17"/>
      <c r="O49" s="17"/>
      <c r="P49" s="17"/>
      <c r="Q49" s="17"/>
      <c r="R49" s="17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25"/>
      <c r="J50" s="25"/>
      <c r="K50" s="12"/>
      <c r="L50" s="12"/>
      <c r="M50" s="17"/>
      <c r="N50" s="17"/>
      <c r="O50" s="17"/>
      <c r="P50" s="17"/>
      <c r="Q50" s="17"/>
      <c r="R50" s="17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25"/>
      <c r="J51" s="25"/>
      <c r="K51" s="126" t="s">
        <v>499</v>
      </c>
      <c r="L51" s="126">
        <f>SUM(L30:L49)</f>
        <v>165542.15</v>
      </c>
      <c r="M51" s="17"/>
      <c r="N51" s="17"/>
      <c r="O51" s="17"/>
      <c r="P51" s="17"/>
      <c r="Q51" s="17"/>
      <c r="R51" s="17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25"/>
      <c r="J52" s="25"/>
      <c r="K52" s="12"/>
      <c r="L52" s="12"/>
      <c r="M52" s="17"/>
      <c r="N52" s="130">
        <f>L51+N27</f>
        <v>259026.68261605769</v>
      </c>
      <c r="O52" s="17"/>
      <c r="P52" s="17"/>
      <c r="Q52" s="17"/>
      <c r="R52" s="17"/>
    </row>
    <row r="54" spans="1:18" x14ac:dyDescent="0.25">
      <c r="A54" s="6" t="s">
        <v>79</v>
      </c>
    </row>
    <row r="55" spans="1:18" x14ac:dyDescent="0.25">
      <c r="A55" s="1" t="s">
        <v>390</v>
      </c>
      <c r="B55" s="1" t="s">
        <v>172</v>
      </c>
      <c r="C55" s="1" t="s">
        <v>168</v>
      </c>
      <c r="D55" s="1" t="s">
        <v>167</v>
      </c>
      <c r="E55" s="1" t="s">
        <v>169</v>
      </c>
      <c r="F55" s="1"/>
      <c r="G55" s="1" t="s">
        <v>22</v>
      </c>
      <c r="H55" s="1"/>
      <c r="I55" s="1" t="s">
        <v>50</v>
      </c>
      <c r="J55" s="1" t="s">
        <v>466</v>
      </c>
      <c r="K55" s="1" t="s">
        <v>52</v>
      </c>
      <c r="L55" s="1" t="s">
        <v>21</v>
      </c>
      <c r="M55" s="4" t="s">
        <v>506</v>
      </c>
      <c r="N55" s="4" t="s">
        <v>507</v>
      </c>
      <c r="O55" s="1" t="s">
        <v>505</v>
      </c>
      <c r="P55" s="1" t="s">
        <v>504</v>
      </c>
    </row>
    <row r="56" spans="1:18" x14ac:dyDescent="0.25">
      <c r="A56" s="1" t="s">
        <v>467</v>
      </c>
      <c r="B56" s="1"/>
      <c r="C56" s="1">
        <v>5000242288</v>
      </c>
      <c r="D56" s="1">
        <v>105</v>
      </c>
      <c r="E56" s="1" t="s">
        <v>124</v>
      </c>
      <c r="F56" s="1" t="s">
        <v>468</v>
      </c>
      <c r="G56" s="2">
        <v>18980</v>
      </c>
      <c r="H56" s="2"/>
      <c r="I56" s="3">
        <v>41.3</v>
      </c>
      <c r="J56" s="3">
        <v>43.38</v>
      </c>
      <c r="K56" s="3">
        <f>J56-I56</f>
        <v>2.0800000000000054</v>
      </c>
      <c r="L56" s="1">
        <f>K56*G56/130</f>
        <v>303.6800000000008</v>
      </c>
      <c r="M56" s="1"/>
      <c r="N56" s="1"/>
      <c r="O56" s="1"/>
      <c r="P56" s="1"/>
    </row>
    <row r="57" spans="1:18" x14ac:dyDescent="0.25">
      <c r="A57" s="1" t="s">
        <v>469</v>
      </c>
      <c r="B57" s="1"/>
      <c r="C57" s="1">
        <v>5000239230</v>
      </c>
      <c r="D57" s="1">
        <v>105</v>
      </c>
      <c r="E57" s="1" t="s">
        <v>124</v>
      </c>
      <c r="F57" s="1" t="s">
        <v>379</v>
      </c>
      <c r="G57" s="2">
        <v>8320</v>
      </c>
      <c r="H57" s="2"/>
      <c r="I57" s="3">
        <v>41.3</v>
      </c>
      <c r="J57" s="3">
        <v>43.38</v>
      </c>
      <c r="K57" s="3">
        <f t="shared" ref="K57:K120" si="12">J57-I57</f>
        <v>2.0800000000000054</v>
      </c>
      <c r="L57" s="1">
        <f t="shared" ref="L57:L59" si="13">K57*G57/130</f>
        <v>133.12000000000035</v>
      </c>
      <c r="M57" s="1"/>
      <c r="N57" s="1"/>
      <c r="O57" s="1"/>
      <c r="P57" s="1"/>
    </row>
    <row r="58" spans="1:18" x14ac:dyDescent="0.25">
      <c r="A58" s="1" t="s">
        <v>467</v>
      </c>
      <c r="B58" s="1"/>
      <c r="C58" s="1">
        <v>5000242288</v>
      </c>
      <c r="D58" s="1">
        <v>105</v>
      </c>
      <c r="E58" s="1" t="s">
        <v>109</v>
      </c>
      <c r="F58" s="1" t="s">
        <v>468</v>
      </c>
      <c r="G58" s="2">
        <v>10790</v>
      </c>
      <c r="H58" s="2"/>
      <c r="I58" s="3">
        <v>41.3</v>
      </c>
      <c r="J58" s="3">
        <v>43.38</v>
      </c>
      <c r="K58" s="3">
        <f t="shared" si="12"/>
        <v>2.0800000000000054</v>
      </c>
      <c r="L58" s="1">
        <f t="shared" si="13"/>
        <v>172.64000000000044</v>
      </c>
      <c r="M58" s="1"/>
      <c r="N58" s="1"/>
      <c r="O58" s="1"/>
      <c r="P58" s="1"/>
    </row>
    <row r="59" spans="1:18" x14ac:dyDescent="0.25">
      <c r="A59" s="1" t="s">
        <v>467</v>
      </c>
      <c r="B59" s="1"/>
      <c r="C59" s="1">
        <v>5000242288</v>
      </c>
      <c r="D59" s="1">
        <v>105</v>
      </c>
      <c r="E59" s="1" t="s">
        <v>125</v>
      </c>
      <c r="F59" s="1" t="s">
        <v>468</v>
      </c>
      <c r="G59" s="2">
        <v>10400</v>
      </c>
      <c r="H59" s="2"/>
      <c r="I59" s="3">
        <v>41.3</v>
      </c>
      <c r="J59" s="3">
        <v>43.38</v>
      </c>
      <c r="K59" s="3">
        <f t="shared" si="12"/>
        <v>2.0800000000000054</v>
      </c>
      <c r="L59" s="1">
        <f t="shared" si="13"/>
        <v>166.40000000000043</v>
      </c>
      <c r="M59" s="1"/>
      <c r="N59" s="1"/>
      <c r="O59" s="1"/>
      <c r="P59" s="1"/>
    </row>
    <row r="60" spans="1:18" x14ac:dyDescent="0.25">
      <c r="A60" s="1" t="s">
        <v>470</v>
      </c>
      <c r="B60" s="1"/>
      <c r="C60" s="1">
        <v>5000242513</v>
      </c>
      <c r="D60" s="1">
        <v>105</v>
      </c>
      <c r="E60" s="1" t="s">
        <v>471</v>
      </c>
      <c r="F60" s="1" t="s">
        <v>381</v>
      </c>
      <c r="G60" s="1">
        <v>112</v>
      </c>
      <c r="H60" s="1"/>
      <c r="I60" s="1">
        <v>161.4</v>
      </c>
      <c r="J60" s="40">
        <v>167.54</v>
      </c>
      <c r="K60" s="3">
        <f t="shared" si="12"/>
        <v>6.1399999999999864</v>
      </c>
      <c r="L60" s="1">
        <f>K60*G60</f>
        <v>687.67999999999847</v>
      </c>
      <c r="M60" s="1"/>
      <c r="N60" s="1"/>
      <c r="O60" s="1"/>
      <c r="P60" s="1"/>
    </row>
    <row r="61" spans="1:18" x14ac:dyDescent="0.25">
      <c r="A61" s="1" t="s">
        <v>451</v>
      </c>
      <c r="B61" s="1"/>
      <c r="C61" s="1">
        <v>5000240444</v>
      </c>
      <c r="D61" s="1">
        <v>105</v>
      </c>
      <c r="E61" s="1" t="s">
        <v>471</v>
      </c>
      <c r="F61" s="1" t="s">
        <v>381</v>
      </c>
      <c r="G61" s="1">
        <v>118</v>
      </c>
      <c r="H61" s="1"/>
      <c r="I61" s="1">
        <v>161.4</v>
      </c>
      <c r="J61" s="40">
        <v>167.54</v>
      </c>
      <c r="K61" s="3">
        <f t="shared" si="12"/>
        <v>6.1399999999999864</v>
      </c>
      <c r="L61" s="1">
        <f t="shared" ref="L61:L64" si="14">K61*G61</f>
        <v>724.51999999999839</v>
      </c>
      <c r="M61" s="1"/>
      <c r="N61" s="1"/>
      <c r="O61" s="1"/>
      <c r="P61" s="1"/>
    </row>
    <row r="62" spans="1:18" x14ac:dyDescent="0.25">
      <c r="A62" s="1" t="s">
        <v>472</v>
      </c>
      <c r="B62" s="1"/>
      <c r="C62" s="1">
        <v>5000239127</v>
      </c>
      <c r="D62" s="1">
        <v>105</v>
      </c>
      <c r="E62" s="1" t="s">
        <v>471</v>
      </c>
      <c r="F62" s="1" t="s">
        <v>379</v>
      </c>
      <c r="G62" s="1">
        <v>130</v>
      </c>
      <c r="H62" s="1"/>
      <c r="I62" s="1">
        <v>161.4</v>
      </c>
      <c r="J62" s="40">
        <v>167.54</v>
      </c>
      <c r="K62" s="3">
        <f t="shared" si="12"/>
        <v>6.1399999999999864</v>
      </c>
      <c r="L62" s="1">
        <f t="shared" si="14"/>
        <v>798.19999999999823</v>
      </c>
      <c r="M62" s="1"/>
      <c r="N62" s="1"/>
      <c r="O62" s="1"/>
      <c r="P62" s="1"/>
    </row>
    <row r="63" spans="1:18" x14ac:dyDescent="0.25">
      <c r="A63" s="1" t="s">
        <v>472</v>
      </c>
      <c r="B63" s="1"/>
      <c r="C63" s="1">
        <v>5000239127</v>
      </c>
      <c r="D63" s="1">
        <v>105</v>
      </c>
      <c r="E63" s="1" t="s">
        <v>471</v>
      </c>
      <c r="F63" s="1" t="s">
        <v>379</v>
      </c>
      <c r="G63" s="1">
        <v>168</v>
      </c>
      <c r="H63" s="1"/>
      <c r="I63" s="1">
        <v>161.4</v>
      </c>
      <c r="J63" s="40">
        <v>167.54</v>
      </c>
      <c r="K63" s="3">
        <f t="shared" si="12"/>
        <v>6.1399999999999864</v>
      </c>
      <c r="L63" s="1">
        <f t="shared" si="14"/>
        <v>1031.5199999999977</v>
      </c>
      <c r="M63" s="1"/>
      <c r="N63" s="1"/>
      <c r="O63" s="1"/>
      <c r="P63" s="1"/>
    </row>
    <row r="64" spans="1:18" x14ac:dyDescent="0.25">
      <c r="A64" s="1" t="s">
        <v>472</v>
      </c>
      <c r="B64" s="1"/>
      <c r="C64" s="1">
        <v>5000239127</v>
      </c>
      <c r="D64" s="1">
        <v>105</v>
      </c>
      <c r="E64" s="1" t="s">
        <v>471</v>
      </c>
      <c r="F64" s="1" t="s">
        <v>379</v>
      </c>
      <c r="G64" s="1">
        <v>21</v>
      </c>
      <c r="H64" s="1"/>
      <c r="I64" s="1">
        <v>161.4</v>
      </c>
      <c r="J64" s="40">
        <v>167.54</v>
      </c>
      <c r="K64" s="3">
        <f t="shared" si="12"/>
        <v>6.1399999999999864</v>
      </c>
      <c r="L64" s="1">
        <f t="shared" si="14"/>
        <v>128.93999999999971</v>
      </c>
      <c r="M64" s="1"/>
      <c r="N64" s="1"/>
      <c r="O64" s="1"/>
      <c r="P64" s="1"/>
    </row>
    <row r="65" spans="1:16" x14ac:dyDescent="0.25">
      <c r="A65" s="1" t="s">
        <v>473</v>
      </c>
      <c r="B65" s="1"/>
      <c r="C65" s="1">
        <v>5000243493</v>
      </c>
      <c r="D65" s="1">
        <v>105</v>
      </c>
      <c r="E65" s="1" t="s">
        <v>474</v>
      </c>
      <c r="F65" s="1" t="s">
        <v>379</v>
      </c>
      <c r="G65" s="2">
        <v>31200</v>
      </c>
      <c r="H65" s="2">
        <f>G65</f>
        <v>31200</v>
      </c>
      <c r="I65" s="3">
        <v>134.5</v>
      </c>
      <c r="J65" s="3">
        <v>139.41999999999999</v>
      </c>
      <c r="K65" s="3">
        <f t="shared" si="12"/>
        <v>4.9199999999999875</v>
      </c>
      <c r="L65" s="3">
        <f>K65*G65/325</f>
        <v>472.31999999999886</v>
      </c>
      <c r="M65" s="3">
        <v>266</v>
      </c>
      <c r="N65" s="1">
        <f>I65*2</f>
        <v>269</v>
      </c>
      <c r="O65" s="3">
        <f>N65-M65</f>
        <v>3</v>
      </c>
      <c r="P65" s="1">
        <f>O65/650*G65</f>
        <v>144</v>
      </c>
    </row>
    <row r="66" spans="1:16" x14ac:dyDescent="0.25">
      <c r="A66" s="1" t="s">
        <v>475</v>
      </c>
      <c r="B66" s="1"/>
      <c r="C66" s="1">
        <v>5000242795</v>
      </c>
      <c r="D66" s="1">
        <v>105</v>
      </c>
      <c r="E66" s="1" t="s">
        <v>474</v>
      </c>
      <c r="F66" s="1" t="s">
        <v>379</v>
      </c>
      <c r="G66" s="2">
        <v>102050</v>
      </c>
      <c r="H66" s="2">
        <f t="shared" ref="H66:H74" si="15">G66</f>
        <v>102050</v>
      </c>
      <c r="I66" s="3">
        <v>134.5</v>
      </c>
      <c r="J66" s="3">
        <v>139.41999999999999</v>
      </c>
      <c r="K66" s="3">
        <f t="shared" si="12"/>
        <v>4.9199999999999875</v>
      </c>
      <c r="L66" s="3">
        <f t="shared" ref="L66:L97" si="16">K66*G66/325</f>
        <v>1544.879999999996</v>
      </c>
      <c r="M66" s="3">
        <v>266</v>
      </c>
      <c r="N66" s="1">
        <f t="shared" ref="N66:N74" si="17">I66*2</f>
        <v>269</v>
      </c>
      <c r="O66" s="3">
        <f t="shared" ref="O66:O74" si="18">N66-M66</f>
        <v>3</v>
      </c>
      <c r="P66" s="1">
        <f t="shared" ref="P66:P74" si="19">O66/650*G66</f>
        <v>471.00000000000006</v>
      </c>
    </row>
    <row r="67" spans="1:16" x14ac:dyDescent="0.25">
      <c r="A67" s="1" t="s">
        <v>470</v>
      </c>
      <c r="B67" s="1"/>
      <c r="C67" s="1">
        <v>5000242513</v>
      </c>
      <c r="D67" s="1">
        <v>105</v>
      </c>
      <c r="E67" s="1" t="s">
        <v>474</v>
      </c>
      <c r="F67" s="1" t="s">
        <v>381</v>
      </c>
      <c r="G67" s="2">
        <v>30550</v>
      </c>
      <c r="H67" s="2">
        <f t="shared" si="15"/>
        <v>30550</v>
      </c>
      <c r="I67" s="3">
        <v>134.5</v>
      </c>
      <c r="J67" s="3">
        <v>139.41999999999999</v>
      </c>
      <c r="K67" s="3">
        <f t="shared" si="12"/>
        <v>4.9199999999999875</v>
      </c>
      <c r="L67" s="3">
        <f t="shared" si="16"/>
        <v>462.47999999999882</v>
      </c>
      <c r="M67" s="3">
        <v>266</v>
      </c>
      <c r="N67" s="1">
        <f t="shared" si="17"/>
        <v>269</v>
      </c>
      <c r="O67" s="3">
        <f t="shared" si="18"/>
        <v>3</v>
      </c>
      <c r="P67" s="1">
        <f t="shared" si="19"/>
        <v>141</v>
      </c>
    </row>
    <row r="68" spans="1:16" x14ac:dyDescent="0.25">
      <c r="A68" s="1" t="s">
        <v>467</v>
      </c>
      <c r="B68" s="1"/>
      <c r="C68" s="1">
        <v>5000242288</v>
      </c>
      <c r="D68" s="1">
        <v>105</v>
      </c>
      <c r="E68" s="1" t="s">
        <v>474</v>
      </c>
      <c r="F68" s="1" t="s">
        <v>468</v>
      </c>
      <c r="G68" s="2">
        <v>109200</v>
      </c>
      <c r="H68" s="2">
        <f t="shared" si="15"/>
        <v>109200</v>
      </c>
      <c r="I68" s="3">
        <v>134.5</v>
      </c>
      <c r="J68" s="3">
        <v>139.41999999999999</v>
      </c>
      <c r="K68" s="3">
        <f t="shared" si="12"/>
        <v>4.9199999999999875</v>
      </c>
      <c r="L68" s="3">
        <f t="shared" si="16"/>
        <v>1653.1199999999958</v>
      </c>
      <c r="M68" s="3">
        <v>266</v>
      </c>
      <c r="N68" s="1">
        <f t="shared" si="17"/>
        <v>269</v>
      </c>
      <c r="O68" s="3">
        <f t="shared" si="18"/>
        <v>3</v>
      </c>
      <c r="P68" s="1">
        <f t="shared" si="19"/>
        <v>504.00000000000006</v>
      </c>
    </row>
    <row r="69" spans="1:16" x14ac:dyDescent="0.25">
      <c r="A69" s="1" t="s">
        <v>475</v>
      </c>
      <c r="B69" s="1"/>
      <c r="C69" s="1">
        <v>5000242795</v>
      </c>
      <c r="D69" s="1">
        <v>105</v>
      </c>
      <c r="E69" s="1" t="s">
        <v>85</v>
      </c>
      <c r="F69" s="1" t="s">
        <v>379</v>
      </c>
      <c r="G69" s="2">
        <v>5850</v>
      </c>
      <c r="H69" s="2">
        <f t="shared" si="15"/>
        <v>5850</v>
      </c>
      <c r="I69" s="3">
        <v>161.4</v>
      </c>
      <c r="J69" s="3">
        <v>167.54</v>
      </c>
      <c r="K69" s="3">
        <f t="shared" si="12"/>
        <v>6.1399999999999864</v>
      </c>
      <c r="L69" s="3">
        <f t="shared" si="16"/>
        <v>110.51999999999975</v>
      </c>
      <c r="M69" s="3">
        <v>319</v>
      </c>
      <c r="N69" s="1">
        <f t="shared" si="17"/>
        <v>322.8</v>
      </c>
      <c r="O69" s="3">
        <f t="shared" si="18"/>
        <v>3.8000000000000114</v>
      </c>
      <c r="P69" s="1">
        <f t="shared" si="19"/>
        <v>34.200000000000102</v>
      </c>
    </row>
    <row r="70" spans="1:16" x14ac:dyDescent="0.25">
      <c r="A70" s="1" t="s">
        <v>476</v>
      </c>
      <c r="B70" s="1"/>
      <c r="C70" s="1">
        <v>5000241305</v>
      </c>
      <c r="D70" s="1">
        <v>105</v>
      </c>
      <c r="E70" s="1" t="s">
        <v>85</v>
      </c>
      <c r="F70" s="1" t="s">
        <v>379</v>
      </c>
      <c r="G70" s="2">
        <v>28050</v>
      </c>
      <c r="H70" s="2">
        <f t="shared" si="15"/>
        <v>28050</v>
      </c>
      <c r="I70" s="3">
        <v>161.4</v>
      </c>
      <c r="J70" s="3">
        <v>167.54</v>
      </c>
      <c r="K70" s="3">
        <f t="shared" si="12"/>
        <v>6.1399999999999864</v>
      </c>
      <c r="L70" s="3">
        <f t="shared" si="16"/>
        <v>529.92923076922966</v>
      </c>
      <c r="M70" s="3">
        <v>319</v>
      </c>
      <c r="N70" s="1">
        <f t="shared" si="17"/>
        <v>322.8</v>
      </c>
      <c r="O70" s="3">
        <f t="shared" si="18"/>
        <v>3.8000000000000114</v>
      </c>
      <c r="P70" s="10">
        <f t="shared" si="19"/>
        <v>163.98461538461586</v>
      </c>
    </row>
    <row r="71" spans="1:16" x14ac:dyDescent="0.25">
      <c r="A71" s="1" t="s">
        <v>476</v>
      </c>
      <c r="B71" s="1"/>
      <c r="C71" s="1">
        <v>5000241305</v>
      </c>
      <c r="D71" s="1">
        <v>105</v>
      </c>
      <c r="E71" s="1" t="s">
        <v>85</v>
      </c>
      <c r="F71" s="1" t="s">
        <v>379</v>
      </c>
      <c r="G71" s="2">
        <v>87590</v>
      </c>
      <c r="H71" s="2">
        <f t="shared" si="15"/>
        <v>87590</v>
      </c>
      <c r="I71" s="3">
        <v>161.4</v>
      </c>
      <c r="J71" s="3">
        <v>167.54</v>
      </c>
      <c r="K71" s="3">
        <f t="shared" si="12"/>
        <v>6.1399999999999864</v>
      </c>
      <c r="L71" s="3">
        <f t="shared" si="16"/>
        <v>1654.7772307692271</v>
      </c>
      <c r="M71" s="3">
        <v>319</v>
      </c>
      <c r="N71" s="1">
        <f t="shared" si="17"/>
        <v>322.8</v>
      </c>
      <c r="O71" s="3">
        <f t="shared" si="18"/>
        <v>3.8000000000000114</v>
      </c>
      <c r="P71" s="10">
        <f t="shared" si="19"/>
        <v>512.0646153846169</v>
      </c>
    </row>
    <row r="72" spans="1:16" x14ac:dyDescent="0.25">
      <c r="A72" s="1" t="s">
        <v>476</v>
      </c>
      <c r="B72" s="1"/>
      <c r="C72" s="1">
        <v>5000241305</v>
      </c>
      <c r="D72" s="1">
        <v>105</v>
      </c>
      <c r="E72" s="1" t="s">
        <v>85</v>
      </c>
      <c r="F72" s="1" t="s">
        <v>379</v>
      </c>
      <c r="G72" s="2">
        <v>1360</v>
      </c>
      <c r="H72" s="2">
        <f t="shared" si="15"/>
        <v>1360</v>
      </c>
      <c r="I72" s="3">
        <v>161.4</v>
      </c>
      <c r="J72" s="3">
        <v>167.54</v>
      </c>
      <c r="K72" s="3">
        <f t="shared" si="12"/>
        <v>6.1399999999999864</v>
      </c>
      <c r="L72" s="3">
        <f t="shared" si="16"/>
        <v>25.693538461538406</v>
      </c>
      <c r="M72" s="3">
        <v>319</v>
      </c>
      <c r="N72" s="1">
        <f t="shared" si="17"/>
        <v>322.8</v>
      </c>
      <c r="O72" s="3">
        <f t="shared" si="18"/>
        <v>3.8000000000000114</v>
      </c>
      <c r="P72" s="10">
        <f t="shared" si="19"/>
        <v>7.9507692307692546</v>
      </c>
    </row>
    <row r="73" spans="1:16" x14ac:dyDescent="0.25">
      <c r="A73" s="1" t="s">
        <v>452</v>
      </c>
      <c r="B73" s="1"/>
      <c r="C73" s="1">
        <v>5000239802</v>
      </c>
      <c r="D73" s="1">
        <v>105</v>
      </c>
      <c r="E73" s="1" t="s">
        <v>85</v>
      </c>
      <c r="F73" s="1" t="s">
        <v>379</v>
      </c>
      <c r="G73" s="2">
        <v>32000</v>
      </c>
      <c r="H73" s="2">
        <f t="shared" si="15"/>
        <v>32000</v>
      </c>
      <c r="I73" s="3">
        <v>161.4</v>
      </c>
      <c r="J73" s="3">
        <v>167.54</v>
      </c>
      <c r="K73" s="3">
        <f t="shared" si="12"/>
        <v>6.1399999999999864</v>
      </c>
      <c r="L73" s="3">
        <f t="shared" si="16"/>
        <v>604.5538461538448</v>
      </c>
      <c r="M73" s="3">
        <v>319</v>
      </c>
      <c r="N73" s="1">
        <f t="shared" si="17"/>
        <v>322.8</v>
      </c>
      <c r="O73" s="3">
        <f t="shared" si="18"/>
        <v>3.8000000000000114</v>
      </c>
      <c r="P73" s="10">
        <f t="shared" si="19"/>
        <v>187.07692307692363</v>
      </c>
    </row>
    <row r="74" spans="1:16" x14ac:dyDescent="0.25">
      <c r="A74" s="1" t="s">
        <v>452</v>
      </c>
      <c r="B74" s="1"/>
      <c r="C74" s="1">
        <v>5000239802</v>
      </c>
      <c r="D74" s="1">
        <v>105</v>
      </c>
      <c r="E74" s="1" t="s">
        <v>85</v>
      </c>
      <c r="F74" s="1" t="s">
        <v>379</v>
      </c>
      <c r="G74" s="2">
        <v>85000</v>
      </c>
      <c r="H74" s="2">
        <f t="shared" si="15"/>
        <v>85000</v>
      </c>
      <c r="I74" s="3">
        <v>161.4</v>
      </c>
      <c r="J74" s="3">
        <v>167.54</v>
      </c>
      <c r="K74" s="3">
        <f t="shared" si="12"/>
        <v>6.1399999999999864</v>
      </c>
      <c r="L74" s="3">
        <f t="shared" si="16"/>
        <v>1605.8461538461502</v>
      </c>
      <c r="M74" s="3">
        <v>319</v>
      </c>
      <c r="N74" s="1">
        <f t="shared" si="17"/>
        <v>322.8</v>
      </c>
      <c r="O74" s="3">
        <f t="shared" si="18"/>
        <v>3.8000000000000114</v>
      </c>
      <c r="P74" s="10">
        <f t="shared" si="19"/>
        <v>496.92307692307844</v>
      </c>
    </row>
    <row r="75" spans="1:16" x14ac:dyDescent="0.25">
      <c r="A75" s="1" t="s">
        <v>451</v>
      </c>
      <c r="B75" s="1"/>
      <c r="C75" s="1">
        <v>5000240444</v>
      </c>
      <c r="D75" s="1">
        <v>105</v>
      </c>
      <c r="E75" s="1" t="s">
        <v>110</v>
      </c>
      <c r="F75" s="1" t="s">
        <v>381</v>
      </c>
      <c r="G75" s="2">
        <v>30160</v>
      </c>
      <c r="H75" s="2"/>
      <c r="I75" s="3">
        <v>161.4</v>
      </c>
      <c r="J75" s="40">
        <v>167.54</v>
      </c>
      <c r="K75" s="3">
        <f t="shared" si="12"/>
        <v>6.1399999999999864</v>
      </c>
      <c r="L75" s="3">
        <f t="shared" si="16"/>
        <v>569.79199999999878</v>
      </c>
      <c r="M75" s="1"/>
      <c r="N75" s="1"/>
      <c r="O75" s="1"/>
      <c r="P75" s="1"/>
    </row>
    <row r="76" spans="1:16" x14ac:dyDescent="0.25">
      <c r="A76" s="1" t="s">
        <v>451</v>
      </c>
      <c r="B76" s="1"/>
      <c r="C76" s="1">
        <v>5000240444</v>
      </c>
      <c r="D76" s="1">
        <v>105</v>
      </c>
      <c r="E76" s="1" t="s">
        <v>110</v>
      </c>
      <c r="F76" s="1" t="s">
        <v>381</v>
      </c>
      <c r="G76" s="2">
        <v>1125</v>
      </c>
      <c r="H76" s="2"/>
      <c r="I76" s="3">
        <v>161.4</v>
      </c>
      <c r="J76" s="40">
        <v>167.54</v>
      </c>
      <c r="K76" s="3">
        <f t="shared" si="12"/>
        <v>6.1399999999999864</v>
      </c>
      <c r="L76" s="3">
        <f t="shared" si="16"/>
        <v>21.253846153846105</v>
      </c>
      <c r="M76" s="1"/>
      <c r="N76" s="1"/>
      <c r="O76" s="1"/>
      <c r="P76" s="1"/>
    </row>
    <row r="77" spans="1:16" x14ac:dyDescent="0.25">
      <c r="A77" s="1" t="s">
        <v>451</v>
      </c>
      <c r="B77" s="1"/>
      <c r="C77" s="1">
        <v>5000240444</v>
      </c>
      <c r="D77" s="1">
        <v>105</v>
      </c>
      <c r="E77" s="1" t="s">
        <v>110</v>
      </c>
      <c r="F77" s="1" t="s">
        <v>381</v>
      </c>
      <c r="G77" s="2">
        <v>2710</v>
      </c>
      <c r="H77" s="2"/>
      <c r="I77" s="3">
        <v>161.4</v>
      </c>
      <c r="J77" s="40">
        <v>167.54</v>
      </c>
      <c r="K77" s="3">
        <f t="shared" si="12"/>
        <v>6.1399999999999864</v>
      </c>
      <c r="L77" s="3">
        <f t="shared" si="16"/>
        <v>51.19815384615373</v>
      </c>
      <c r="M77" s="1"/>
      <c r="N77" s="1"/>
      <c r="O77" s="1"/>
      <c r="P77" s="1"/>
    </row>
    <row r="78" spans="1:16" x14ac:dyDescent="0.25">
      <c r="A78" s="1" t="s">
        <v>451</v>
      </c>
      <c r="B78" s="1"/>
      <c r="C78" s="1">
        <v>5000240444</v>
      </c>
      <c r="D78" s="1">
        <v>105</v>
      </c>
      <c r="E78" s="1" t="s">
        <v>110</v>
      </c>
      <c r="F78" s="1" t="s">
        <v>381</v>
      </c>
      <c r="G78" s="2">
        <v>32000</v>
      </c>
      <c r="H78" s="2"/>
      <c r="I78" s="3">
        <v>161.4</v>
      </c>
      <c r="J78" s="40">
        <v>167.54</v>
      </c>
      <c r="K78" s="3">
        <f t="shared" si="12"/>
        <v>6.1399999999999864</v>
      </c>
      <c r="L78" s="3">
        <f t="shared" si="16"/>
        <v>604.5538461538448</v>
      </c>
      <c r="M78" s="1"/>
      <c r="N78" s="1"/>
      <c r="O78" s="1"/>
      <c r="P78" s="1"/>
    </row>
    <row r="79" spans="1:16" x14ac:dyDescent="0.25">
      <c r="A79" s="1" t="s">
        <v>451</v>
      </c>
      <c r="B79" s="1"/>
      <c r="C79" s="1">
        <v>5000240444</v>
      </c>
      <c r="D79" s="1">
        <v>105</v>
      </c>
      <c r="E79" s="1" t="s">
        <v>110</v>
      </c>
      <c r="F79" s="1" t="s">
        <v>381</v>
      </c>
      <c r="G79" s="2">
        <v>9080</v>
      </c>
      <c r="H79" s="2"/>
      <c r="I79" s="3">
        <v>161.4</v>
      </c>
      <c r="J79" s="40">
        <v>167.54</v>
      </c>
      <c r="K79" s="3">
        <f t="shared" si="12"/>
        <v>6.1399999999999864</v>
      </c>
      <c r="L79" s="3">
        <f t="shared" si="16"/>
        <v>171.54215384615347</v>
      </c>
      <c r="M79" s="1"/>
      <c r="N79" s="1"/>
      <c r="O79" s="1"/>
      <c r="P79" s="1"/>
    </row>
    <row r="80" spans="1:16" x14ac:dyDescent="0.25">
      <c r="A80" s="1" t="s">
        <v>476</v>
      </c>
      <c r="B80" s="1"/>
      <c r="C80" s="1">
        <v>5000241305</v>
      </c>
      <c r="D80" s="1">
        <v>105</v>
      </c>
      <c r="E80" s="1" t="s">
        <v>84</v>
      </c>
      <c r="F80" s="1" t="s">
        <v>379</v>
      </c>
      <c r="G80" s="2">
        <v>50205</v>
      </c>
      <c r="H80" s="2">
        <f t="shared" ref="H80:H87" si="20">G80</f>
        <v>50205</v>
      </c>
      <c r="I80" s="3">
        <v>134.5</v>
      </c>
      <c r="J80" s="3">
        <v>139.41999999999999</v>
      </c>
      <c r="K80" s="3">
        <f t="shared" si="12"/>
        <v>4.9199999999999875</v>
      </c>
      <c r="L80" s="3">
        <f t="shared" si="16"/>
        <v>760.02646153845956</v>
      </c>
      <c r="M80" s="3">
        <v>266</v>
      </c>
      <c r="N80" s="1">
        <f t="shared" ref="N80:N87" si="21">I80*2</f>
        <v>269</v>
      </c>
      <c r="O80" s="3">
        <f t="shared" ref="O80:O87" si="22">N80-M80</f>
        <v>3</v>
      </c>
      <c r="P80" s="10">
        <f t="shared" ref="P80:P87" si="23">O80/650*G80</f>
        <v>231.71538461538464</v>
      </c>
    </row>
    <row r="81" spans="1:16" x14ac:dyDescent="0.25">
      <c r="A81" s="1" t="s">
        <v>476</v>
      </c>
      <c r="B81" s="1"/>
      <c r="C81" s="1">
        <v>5000241305</v>
      </c>
      <c r="D81" s="1">
        <v>105</v>
      </c>
      <c r="E81" s="1" t="s">
        <v>84</v>
      </c>
      <c r="F81" s="1" t="s">
        <v>379</v>
      </c>
      <c r="G81" s="2">
        <v>20185</v>
      </c>
      <c r="H81" s="2">
        <f t="shared" si="20"/>
        <v>20185</v>
      </c>
      <c r="I81" s="3">
        <v>134.5</v>
      </c>
      <c r="J81" s="3">
        <v>139.41999999999999</v>
      </c>
      <c r="K81" s="3">
        <f t="shared" si="12"/>
        <v>4.9199999999999875</v>
      </c>
      <c r="L81" s="3">
        <f t="shared" si="16"/>
        <v>305.56984615384539</v>
      </c>
      <c r="M81" s="3">
        <v>266</v>
      </c>
      <c r="N81" s="1">
        <f t="shared" si="21"/>
        <v>269</v>
      </c>
      <c r="O81" s="3">
        <f t="shared" si="22"/>
        <v>3</v>
      </c>
      <c r="P81" s="10">
        <f t="shared" si="23"/>
        <v>93.16153846153847</v>
      </c>
    </row>
    <row r="82" spans="1:16" x14ac:dyDescent="0.25">
      <c r="A82" s="1" t="s">
        <v>476</v>
      </c>
      <c r="B82" s="1"/>
      <c r="C82" s="1">
        <v>5000241305</v>
      </c>
      <c r="D82" s="1">
        <v>105</v>
      </c>
      <c r="E82" s="1" t="s">
        <v>84</v>
      </c>
      <c r="F82" s="1" t="s">
        <v>379</v>
      </c>
      <c r="G82" s="2">
        <v>209760</v>
      </c>
      <c r="H82" s="2">
        <f t="shared" si="20"/>
        <v>209760</v>
      </c>
      <c r="I82" s="3">
        <v>134.5</v>
      </c>
      <c r="J82" s="3">
        <v>139.41999999999999</v>
      </c>
      <c r="K82" s="3">
        <f t="shared" si="12"/>
        <v>4.9199999999999875</v>
      </c>
      <c r="L82" s="3">
        <f t="shared" si="16"/>
        <v>3175.4436923076842</v>
      </c>
      <c r="M82" s="3">
        <v>266</v>
      </c>
      <c r="N82" s="1">
        <f t="shared" si="21"/>
        <v>269</v>
      </c>
      <c r="O82" s="3">
        <f t="shared" si="22"/>
        <v>3</v>
      </c>
      <c r="P82" s="10">
        <f t="shared" si="23"/>
        <v>968.12307692307706</v>
      </c>
    </row>
    <row r="83" spans="1:16" x14ac:dyDescent="0.25">
      <c r="A83" s="1" t="s">
        <v>452</v>
      </c>
      <c r="B83" s="1"/>
      <c r="C83" s="1">
        <v>5000239802</v>
      </c>
      <c r="D83" s="1">
        <v>105</v>
      </c>
      <c r="E83" s="1" t="s">
        <v>84</v>
      </c>
      <c r="F83" s="1" t="s">
        <v>379</v>
      </c>
      <c r="G83" s="2">
        <v>22635</v>
      </c>
      <c r="H83" s="2">
        <f t="shared" si="20"/>
        <v>22635</v>
      </c>
      <c r="I83" s="3">
        <v>134.5</v>
      </c>
      <c r="J83" s="3">
        <v>139.41999999999999</v>
      </c>
      <c r="K83" s="3">
        <f t="shared" si="12"/>
        <v>4.9199999999999875</v>
      </c>
      <c r="L83" s="3">
        <f t="shared" si="16"/>
        <v>342.65907692307604</v>
      </c>
      <c r="M83" s="3">
        <v>266</v>
      </c>
      <c r="N83" s="1">
        <f t="shared" si="21"/>
        <v>269</v>
      </c>
      <c r="O83" s="3">
        <f t="shared" si="22"/>
        <v>3</v>
      </c>
      <c r="P83" s="10">
        <f t="shared" si="23"/>
        <v>104.46923076923078</v>
      </c>
    </row>
    <row r="84" spans="1:16" x14ac:dyDescent="0.25">
      <c r="A84" s="1" t="s">
        <v>452</v>
      </c>
      <c r="B84" s="1"/>
      <c r="C84" s="1">
        <v>5000239802</v>
      </c>
      <c r="D84" s="1">
        <v>105</v>
      </c>
      <c r="E84" s="1" t="s">
        <v>84</v>
      </c>
      <c r="F84" s="1" t="s">
        <v>379</v>
      </c>
      <c r="G84" s="2">
        <v>113215</v>
      </c>
      <c r="H84" s="2">
        <f t="shared" si="20"/>
        <v>113215</v>
      </c>
      <c r="I84" s="3">
        <v>134.5</v>
      </c>
      <c r="J84" s="3">
        <v>139.41999999999999</v>
      </c>
      <c r="K84" s="3">
        <f t="shared" si="12"/>
        <v>4.9199999999999875</v>
      </c>
      <c r="L84" s="3">
        <f t="shared" si="16"/>
        <v>1713.9009230769186</v>
      </c>
      <c r="M84" s="3">
        <v>266</v>
      </c>
      <c r="N84" s="1">
        <f t="shared" si="21"/>
        <v>269</v>
      </c>
      <c r="O84" s="3">
        <f t="shared" si="22"/>
        <v>3</v>
      </c>
      <c r="P84" s="10">
        <f t="shared" si="23"/>
        <v>522.53076923076924</v>
      </c>
    </row>
    <row r="85" spans="1:16" x14ac:dyDescent="0.25">
      <c r="A85" s="1" t="s">
        <v>472</v>
      </c>
      <c r="B85" s="1"/>
      <c r="C85" s="1">
        <v>5000239127</v>
      </c>
      <c r="D85" s="1">
        <v>105</v>
      </c>
      <c r="E85" s="1" t="s">
        <v>84</v>
      </c>
      <c r="F85" s="1" t="s">
        <v>379</v>
      </c>
      <c r="G85" s="2">
        <v>11650</v>
      </c>
      <c r="H85" s="2">
        <f t="shared" si="20"/>
        <v>11650</v>
      </c>
      <c r="I85" s="3">
        <v>134.5</v>
      </c>
      <c r="J85" s="3">
        <v>139.41999999999999</v>
      </c>
      <c r="K85" s="3">
        <f t="shared" si="12"/>
        <v>4.9199999999999875</v>
      </c>
      <c r="L85" s="3">
        <f t="shared" si="16"/>
        <v>176.36307692307648</v>
      </c>
      <c r="M85" s="3">
        <v>266</v>
      </c>
      <c r="N85" s="1">
        <f t="shared" si="21"/>
        <v>269</v>
      </c>
      <c r="O85" s="3">
        <f t="shared" si="22"/>
        <v>3</v>
      </c>
      <c r="P85" s="10">
        <f t="shared" si="23"/>
        <v>53.769230769230774</v>
      </c>
    </row>
    <row r="86" spans="1:16" x14ac:dyDescent="0.25">
      <c r="A86" s="1" t="s">
        <v>472</v>
      </c>
      <c r="B86" s="1"/>
      <c r="C86" s="1">
        <v>5000239127</v>
      </c>
      <c r="D86" s="1">
        <v>105</v>
      </c>
      <c r="E86" s="1" t="s">
        <v>84</v>
      </c>
      <c r="F86" s="1" t="s">
        <v>379</v>
      </c>
      <c r="G86" s="2">
        <v>75500</v>
      </c>
      <c r="H86" s="2">
        <f t="shared" si="20"/>
        <v>75500</v>
      </c>
      <c r="I86" s="3">
        <v>134.5</v>
      </c>
      <c r="J86" s="3">
        <v>139.41999999999999</v>
      </c>
      <c r="K86" s="3">
        <f t="shared" si="12"/>
        <v>4.9199999999999875</v>
      </c>
      <c r="L86" s="3">
        <f t="shared" si="16"/>
        <v>1142.9538461538432</v>
      </c>
      <c r="M86" s="3">
        <v>266</v>
      </c>
      <c r="N86" s="1">
        <f t="shared" si="21"/>
        <v>269</v>
      </c>
      <c r="O86" s="3">
        <f t="shared" si="22"/>
        <v>3</v>
      </c>
      <c r="P86" s="10">
        <f t="shared" si="23"/>
        <v>348.46153846153851</v>
      </c>
    </row>
    <row r="87" spans="1:16" x14ac:dyDescent="0.25">
      <c r="A87" s="1" t="s">
        <v>472</v>
      </c>
      <c r="B87" s="1"/>
      <c r="C87" s="1">
        <v>5000239127</v>
      </c>
      <c r="D87" s="1">
        <v>105</v>
      </c>
      <c r="E87" s="1" t="s">
        <v>84</v>
      </c>
      <c r="F87" s="1" t="s">
        <v>379</v>
      </c>
      <c r="G87" s="2">
        <v>37000</v>
      </c>
      <c r="H87" s="2">
        <f t="shared" si="20"/>
        <v>37000</v>
      </c>
      <c r="I87" s="3">
        <v>134.5</v>
      </c>
      <c r="J87" s="3">
        <v>139.41999999999999</v>
      </c>
      <c r="K87" s="3">
        <f t="shared" si="12"/>
        <v>4.9199999999999875</v>
      </c>
      <c r="L87" s="3">
        <f t="shared" si="16"/>
        <v>560.12307692307547</v>
      </c>
      <c r="M87" s="3">
        <v>266</v>
      </c>
      <c r="N87" s="1">
        <f t="shared" si="21"/>
        <v>269</v>
      </c>
      <c r="O87" s="3">
        <f t="shared" si="22"/>
        <v>3</v>
      </c>
      <c r="P87" s="10">
        <f t="shared" si="23"/>
        <v>170.76923076923077</v>
      </c>
    </row>
    <row r="88" spans="1:16" x14ac:dyDescent="0.25">
      <c r="A88" s="1" t="s">
        <v>475</v>
      </c>
      <c r="B88" s="1"/>
      <c r="C88" s="1">
        <v>5000242795</v>
      </c>
      <c r="D88" s="1">
        <v>105</v>
      </c>
      <c r="E88" s="1" t="s">
        <v>83</v>
      </c>
      <c r="F88" s="1" t="s">
        <v>379</v>
      </c>
      <c r="G88" s="2">
        <v>93500</v>
      </c>
      <c r="H88" s="2"/>
      <c r="I88" s="3">
        <v>134.5</v>
      </c>
      <c r="J88" s="3">
        <v>139.41999999999999</v>
      </c>
      <c r="K88" s="3">
        <f t="shared" si="12"/>
        <v>4.9199999999999875</v>
      </c>
      <c r="L88" s="3">
        <f t="shared" si="16"/>
        <v>1415.4461538461503</v>
      </c>
      <c r="M88" s="1"/>
      <c r="N88" s="1"/>
      <c r="O88" s="1"/>
      <c r="P88" s="1"/>
    </row>
    <row r="89" spans="1:16" x14ac:dyDescent="0.25">
      <c r="A89" s="1" t="s">
        <v>475</v>
      </c>
      <c r="B89" s="1"/>
      <c r="C89" s="1">
        <v>5000242795</v>
      </c>
      <c r="D89" s="1">
        <v>105</v>
      </c>
      <c r="E89" s="1" t="s">
        <v>83</v>
      </c>
      <c r="F89" s="1" t="s">
        <v>379</v>
      </c>
      <c r="G89" s="2">
        <v>15700</v>
      </c>
      <c r="H89" s="2"/>
      <c r="I89" s="3">
        <v>134.5</v>
      </c>
      <c r="J89" s="3">
        <v>139.41999999999999</v>
      </c>
      <c r="K89" s="3">
        <f t="shared" si="12"/>
        <v>4.9199999999999875</v>
      </c>
      <c r="L89" s="3">
        <f t="shared" si="16"/>
        <v>237.67384615384557</v>
      </c>
      <c r="M89" s="1"/>
      <c r="N89" s="1"/>
      <c r="O89" s="1"/>
      <c r="P89" s="1"/>
    </row>
    <row r="90" spans="1:16" x14ac:dyDescent="0.25">
      <c r="A90" s="1" t="s">
        <v>477</v>
      </c>
      <c r="B90" s="1"/>
      <c r="C90" s="1">
        <v>5000241576</v>
      </c>
      <c r="D90" s="1">
        <v>105</v>
      </c>
      <c r="E90" s="1" t="s">
        <v>83</v>
      </c>
      <c r="F90" s="1" t="s">
        <v>478</v>
      </c>
      <c r="G90" s="2">
        <v>156325</v>
      </c>
      <c r="H90" s="2"/>
      <c r="I90" s="3">
        <v>134.5</v>
      </c>
      <c r="J90" s="3">
        <v>139.41999999999999</v>
      </c>
      <c r="K90" s="3">
        <f t="shared" si="12"/>
        <v>4.9199999999999875</v>
      </c>
      <c r="L90" s="3">
        <f t="shared" si="16"/>
        <v>2366.5199999999941</v>
      </c>
      <c r="M90" s="1"/>
      <c r="N90" s="1"/>
      <c r="O90" s="1"/>
      <c r="P90" s="1"/>
    </row>
    <row r="91" spans="1:16" x14ac:dyDescent="0.25">
      <c r="A91" s="1" t="s">
        <v>476</v>
      </c>
      <c r="B91" s="1"/>
      <c r="C91" s="1">
        <v>5000241305</v>
      </c>
      <c r="D91" s="1">
        <v>105</v>
      </c>
      <c r="E91" s="1" t="s">
        <v>83</v>
      </c>
      <c r="F91" s="1" t="s">
        <v>379</v>
      </c>
      <c r="G91" s="2">
        <v>41850</v>
      </c>
      <c r="H91" s="2"/>
      <c r="I91" s="3">
        <v>134.5</v>
      </c>
      <c r="J91" s="3">
        <v>139.41999999999999</v>
      </c>
      <c r="K91" s="3">
        <f t="shared" si="12"/>
        <v>4.9199999999999875</v>
      </c>
      <c r="L91" s="3">
        <f t="shared" si="16"/>
        <v>633.54461538461373</v>
      </c>
      <c r="M91" s="1"/>
      <c r="N91" s="1"/>
      <c r="O91" s="1"/>
      <c r="P91" s="1"/>
    </row>
    <row r="92" spans="1:16" x14ac:dyDescent="0.25">
      <c r="A92" s="1" t="s">
        <v>476</v>
      </c>
      <c r="B92" s="1"/>
      <c r="C92" s="1">
        <v>5000241305</v>
      </c>
      <c r="D92" s="1">
        <v>105</v>
      </c>
      <c r="E92" s="1" t="s">
        <v>83</v>
      </c>
      <c r="F92" s="1" t="s">
        <v>379</v>
      </c>
      <c r="G92" s="2">
        <v>10800</v>
      </c>
      <c r="H92" s="2"/>
      <c r="I92" s="3">
        <v>134.5</v>
      </c>
      <c r="J92" s="3">
        <v>139.41999999999999</v>
      </c>
      <c r="K92" s="3">
        <f t="shared" si="12"/>
        <v>4.9199999999999875</v>
      </c>
      <c r="L92" s="3">
        <f t="shared" si="16"/>
        <v>163.49538461538418</v>
      </c>
      <c r="M92" s="1"/>
      <c r="N92" s="1"/>
      <c r="O92" s="1"/>
      <c r="P92" s="1"/>
    </row>
    <row r="93" spans="1:16" x14ac:dyDescent="0.25">
      <c r="A93" s="1" t="s">
        <v>479</v>
      </c>
      <c r="B93" s="1"/>
      <c r="C93" s="1">
        <v>5000238366</v>
      </c>
      <c r="D93" s="1">
        <v>105</v>
      </c>
      <c r="E93" s="1" t="s">
        <v>83</v>
      </c>
      <c r="F93" s="1" t="s">
        <v>383</v>
      </c>
      <c r="G93" s="2">
        <v>122850</v>
      </c>
      <c r="H93" s="2"/>
      <c r="I93" s="3">
        <v>134.5</v>
      </c>
      <c r="J93" s="3">
        <v>139.41999999999999</v>
      </c>
      <c r="K93" s="3">
        <f t="shared" si="12"/>
        <v>4.9199999999999875</v>
      </c>
      <c r="L93" s="3">
        <f t="shared" si="16"/>
        <v>1859.7599999999954</v>
      </c>
      <c r="M93" s="1"/>
      <c r="N93" s="1"/>
      <c r="O93" s="1"/>
      <c r="P93" s="1"/>
    </row>
    <row r="94" spans="1:16" x14ac:dyDescent="0.25">
      <c r="A94" s="1" t="s">
        <v>475</v>
      </c>
      <c r="B94" s="1"/>
      <c r="C94" s="1">
        <v>5000242797</v>
      </c>
      <c r="D94" s="1">
        <v>105</v>
      </c>
      <c r="E94" s="1" t="s">
        <v>112</v>
      </c>
      <c r="F94" s="1" t="s">
        <v>379</v>
      </c>
      <c r="G94" s="2">
        <v>20850</v>
      </c>
      <c r="H94" s="2"/>
      <c r="I94" s="3">
        <v>134.5</v>
      </c>
      <c r="J94" s="3">
        <v>139.41999999999999</v>
      </c>
      <c r="K94" s="3">
        <f t="shared" si="12"/>
        <v>4.9199999999999875</v>
      </c>
      <c r="L94" s="3">
        <f t="shared" si="16"/>
        <v>315.63692307692224</v>
      </c>
      <c r="M94" s="1"/>
      <c r="N94" s="1"/>
      <c r="O94" s="1"/>
      <c r="P94" s="1"/>
    </row>
    <row r="95" spans="1:16" x14ac:dyDescent="0.25">
      <c r="A95" s="1" t="s">
        <v>475</v>
      </c>
      <c r="B95" s="1"/>
      <c r="C95" s="1">
        <v>5000242797</v>
      </c>
      <c r="D95" s="1">
        <v>105</v>
      </c>
      <c r="E95" s="1" t="s">
        <v>112</v>
      </c>
      <c r="F95" s="1" t="s">
        <v>379</v>
      </c>
      <c r="G95" s="2">
        <v>102000</v>
      </c>
      <c r="H95" s="2"/>
      <c r="I95" s="3">
        <v>134.5</v>
      </c>
      <c r="J95" s="3">
        <v>139.41999999999999</v>
      </c>
      <c r="K95" s="3">
        <f t="shared" si="12"/>
        <v>4.9199999999999875</v>
      </c>
      <c r="L95" s="3">
        <f t="shared" si="16"/>
        <v>1544.1230769230731</v>
      </c>
      <c r="M95" s="1"/>
      <c r="N95" s="1"/>
      <c r="O95" s="1"/>
      <c r="P95" s="1"/>
    </row>
    <row r="96" spans="1:16" x14ac:dyDescent="0.25">
      <c r="A96" s="1" t="s">
        <v>479</v>
      </c>
      <c r="B96" s="1"/>
      <c r="C96" s="1">
        <v>5000238366</v>
      </c>
      <c r="D96" s="1">
        <v>105</v>
      </c>
      <c r="E96" s="1" t="s">
        <v>112</v>
      </c>
      <c r="F96" s="1" t="s">
        <v>383</v>
      </c>
      <c r="G96" s="2">
        <v>58000</v>
      </c>
      <c r="H96" s="2"/>
      <c r="I96" s="3">
        <v>134.5</v>
      </c>
      <c r="J96" s="3">
        <v>139.41999999999999</v>
      </c>
      <c r="K96" s="3">
        <f t="shared" si="12"/>
        <v>4.9199999999999875</v>
      </c>
      <c r="L96" s="3">
        <f t="shared" si="16"/>
        <v>878.03076923076708</v>
      </c>
      <c r="M96" s="1"/>
      <c r="N96" s="1"/>
      <c r="O96" s="1"/>
      <c r="P96" s="1"/>
    </row>
    <row r="97" spans="1:16" x14ac:dyDescent="0.25">
      <c r="A97" s="1" t="s">
        <v>479</v>
      </c>
      <c r="B97" s="1"/>
      <c r="C97" s="1">
        <v>5000238366</v>
      </c>
      <c r="D97" s="1">
        <v>105</v>
      </c>
      <c r="E97" s="1" t="s">
        <v>112</v>
      </c>
      <c r="F97" s="1" t="s">
        <v>383</v>
      </c>
      <c r="G97" s="2">
        <v>4400</v>
      </c>
      <c r="H97" s="2"/>
      <c r="I97" s="3">
        <v>134.5</v>
      </c>
      <c r="J97" s="3">
        <v>139.41999999999999</v>
      </c>
      <c r="K97" s="3">
        <f t="shared" si="12"/>
        <v>4.9199999999999875</v>
      </c>
      <c r="L97" s="3">
        <f t="shared" si="16"/>
        <v>66.609230769230606</v>
      </c>
      <c r="M97" s="1"/>
      <c r="N97" s="1"/>
      <c r="O97" s="1"/>
      <c r="P97" s="1"/>
    </row>
    <row r="98" spans="1:16" x14ac:dyDescent="0.25">
      <c r="A98" s="1" t="s">
        <v>467</v>
      </c>
      <c r="B98" s="1"/>
      <c r="C98" s="1">
        <v>5000242288</v>
      </c>
      <c r="D98" s="1">
        <v>105</v>
      </c>
      <c r="E98" s="1" t="s">
        <v>80</v>
      </c>
      <c r="F98" s="1" t="s">
        <v>468</v>
      </c>
      <c r="G98" s="2">
        <v>15470</v>
      </c>
      <c r="H98" s="2"/>
      <c r="I98" s="3">
        <v>41.3</v>
      </c>
      <c r="J98" s="3">
        <v>43.38</v>
      </c>
      <c r="K98" s="3">
        <f t="shared" si="12"/>
        <v>2.0800000000000054</v>
      </c>
      <c r="L98" s="3">
        <f>K98*G98/130</f>
        <v>247.52000000000064</v>
      </c>
      <c r="M98" s="1"/>
      <c r="N98" s="1"/>
      <c r="O98" s="1"/>
      <c r="P98" s="1"/>
    </row>
    <row r="99" spans="1:16" x14ac:dyDescent="0.25">
      <c r="A99" s="1" t="s">
        <v>451</v>
      </c>
      <c r="B99" s="1"/>
      <c r="C99" s="1">
        <v>5000240444</v>
      </c>
      <c r="D99" s="1">
        <v>105</v>
      </c>
      <c r="E99" s="1" t="s">
        <v>80</v>
      </c>
      <c r="F99" s="1" t="s">
        <v>381</v>
      </c>
      <c r="G99" s="2">
        <v>22490</v>
      </c>
      <c r="H99" s="2"/>
      <c r="I99" s="3">
        <v>41.3</v>
      </c>
      <c r="J99" s="3">
        <v>43.38</v>
      </c>
      <c r="K99" s="3">
        <f t="shared" si="12"/>
        <v>2.0800000000000054</v>
      </c>
      <c r="L99" s="3">
        <f t="shared" ref="L99:L118" si="24">K99*G99/130</f>
        <v>359.84000000000094</v>
      </c>
      <c r="M99" s="1"/>
      <c r="N99" s="1"/>
      <c r="O99" s="1"/>
      <c r="P99" s="1"/>
    </row>
    <row r="100" spans="1:16" x14ac:dyDescent="0.25">
      <c r="A100" s="1" t="s">
        <v>451</v>
      </c>
      <c r="B100" s="1"/>
      <c r="C100" s="1">
        <v>5000240444</v>
      </c>
      <c r="D100" s="1">
        <v>105</v>
      </c>
      <c r="E100" s="1" t="s">
        <v>80</v>
      </c>
      <c r="F100" s="1" t="s">
        <v>381</v>
      </c>
      <c r="G100" s="2">
        <v>21580</v>
      </c>
      <c r="H100" s="2"/>
      <c r="I100" s="3">
        <v>41.3</v>
      </c>
      <c r="J100" s="3">
        <v>43.38</v>
      </c>
      <c r="K100" s="3">
        <f t="shared" si="12"/>
        <v>2.0800000000000054</v>
      </c>
      <c r="L100" s="3">
        <f t="shared" si="24"/>
        <v>345.28000000000088</v>
      </c>
      <c r="M100" s="1"/>
      <c r="N100" s="1"/>
      <c r="O100" s="1"/>
      <c r="P100" s="1"/>
    </row>
    <row r="101" spans="1:16" x14ac:dyDescent="0.25">
      <c r="A101" s="1" t="s">
        <v>451</v>
      </c>
      <c r="B101" s="1"/>
      <c r="C101" s="1">
        <v>5000240444</v>
      </c>
      <c r="D101" s="1">
        <v>105</v>
      </c>
      <c r="E101" s="1" t="s">
        <v>80</v>
      </c>
      <c r="F101" s="1" t="s">
        <v>381</v>
      </c>
      <c r="G101" s="2">
        <v>13000</v>
      </c>
      <c r="H101" s="2"/>
      <c r="I101" s="3">
        <v>41.3</v>
      </c>
      <c r="J101" s="3">
        <v>43.38</v>
      </c>
      <c r="K101" s="3">
        <f t="shared" si="12"/>
        <v>2.0800000000000054</v>
      </c>
      <c r="L101" s="3">
        <f t="shared" si="24"/>
        <v>208.00000000000054</v>
      </c>
      <c r="M101" s="1"/>
      <c r="N101" s="1"/>
      <c r="O101" s="1"/>
      <c r="P101" s="1"/>
    </row>
    <row r="102" spans="1:16" x14ac:dyDescent="0.25">
      <c r="A102" s="1" t="s">
        <v>451</v>
      </c>
      <c r="B102" s="1"/>
      <c r="C102" s="1">
        <v>5000240444</v>
      </c>
      <c r="D102" s="1">
        <v>105</v>
      </c>
      <c r="E102" s="1" t="s">
        <v>80</v>
      </c>
      <c r="F102" s="1" t="s">
        <v>381</v>
      </c>
      <c r="G102" s="2">
        <v>5330</v>
      </c>
      <c r="H102" s="2"/>
      <c r="I102" s="3">
        <v>41.3</v>
      </c>
      <c r="J102" s="3">
        <v>43.38</v>
      </c>
      <c r="K102" s="3">
        <f t="shared" si="12"/>
        <v>2.0800000000000054</v>
      </c>
      <c r="L102" s="3">
        <f t="shared" si="24"/>
        <v>85.280000000000214</v>
      </c>
      <c r="M102" s="1"/>
      <c r="N102" s="1"/>
      <c r="O102" s="1"/>
      <c r="P102" s="1"/>
    </row>
    <row r="103" spans="1:16" x14ac:dyDescent="0.25">
      <c r="A103" s="1" t="s">
        <v>467</v>
      </c>
      <c r="B103" s="1"/>
      <c r="C103" s="1">
        <v>5000242288</v>
      </c>
      <c r="D103" s="1">
        <v>105</v>
      </c>
      <c r="E103" s="1" t="s">
        <v>81</v>
      </c>
      <c r="F103" s="1" t="s">
        <v>468</v>
      </c>
      <c r="G103" s="2">
        <v>16510</v>
      </c>
      <c r="H103" s="2"/>
      <c r="I103" s="3">
        <v>41.3</v>
      </c>
      <c r="J103" s="3">
        <v>43.38</v>
      </c>
      <c r="K103" s="3">
        <f t="shared" si="12"/>
        <v>2.0800000000000054</v>
      </c>
      <c r="L103" s="3">
        <f t="shared" si="24"/>
        <v>264.16000000000071</v>
      </c>
      <c r="M103" s="1"/>
      <c r="N103" s="1"/>
      <c r="O103" s="1"/>
      <c r="P103" s="1"/>
    </row>
    <row r="104" spans="1:16" x14ac:dyDescent="0.25">
      <c r="A104" s="1" t="s">
        <v>467</v>
      </c>
      <c r="B104" s="1"/>
      <c r="C104" s="1">
        <v>5000242288</v>
      </c>
      <c r="D104" s="1">
        <v>105</v>
      </c>
      <c r="E104" s="1" t="s">
        <v>81</v>
      </c>
      <c r="F104" s="1" t="s">
        <v>468</v>
      </c>
      <c r="G104" s="2">
        <v>13000</v>
      </c>
      <c r="H104" s="2"/>
      <c r="I104" s="3">
        <v>41.3</v>
      </c>
      <c r="J104" s="3">
        <v>43.38</v>
      </c>
      <c r="K104" s="3">
        <f t="shared" si="12"/>
        <v>2.0800000000000054</v>
      </c>
      <c r="L104" s="3">
        <f t="shared" si="24"/>
        <v>208.00000000000054</v>
      </c>
      <c r="M104" s="1"/>
      <c r="N104" s="1"/>
      <c r="O104" s="1"/>
      <c r="P104" s="1"/>
    </row>
    <row r="105" spans="1:16" x14ac:dyDescent="0.25">
      <c r="A105" s="1" t="s">
        <v>467</v>
      </c>
      <c r="B105" s="1"/>
      <c r="C105" s="1">
        <v>5000242288</v>
      </c>
      <c r="D105" s="1">
        <v>105</v>
      </c>
      <c r="E105" s="1" t="s">
        <v>81</v>
      </c>
      <c r="F105" s="1" t="s">
        <v>468</v>
      </c>
      <c r="G105" s="2">
        <v>13000</v>
      </c>
      <c r="H105" s="2"/>
      <c r="I105" s="3">
        <v>41.3</v>
      </c>
      <c r="J105" s="3">
        <v>43.38</v>
      </c>
      <c r="K105" s="3">
        <f t="shared" si="12"/>
        <v>2.0800000000000054</v>
      </c>
      <c r="L105" s="3">
        <f t="shared" si="24"/>
        <v>208.00000000000054</v>
      </c>
      <c r="M105" s="1"/>
      <c r="N105" s="1"/>
      <c r="O105" s="1"/>
      <c r="P105" s="1"/>
    </row>
    <row r="106" spans="1:16" x14ac:dyDescent="0.25">
      <c r="A106" s="1" t="s">
        <v>467</v>
      </c>
      <c r="B106" s="1"/>
      <c r="C106" s="1">
        <v>5000242288</v>
      </c>
      <c r="D106" s="1">
        <v>105</v>
      </c>
      <c r="E106" s="1" t="s">
        <v>81</v>
      </c>
      <c r="F106" s="1" t="s">
        <v>468</v>
      </c>
      <c r="G106" s="2">
        <v>5590</v>
      </c>
      <c r="H106" s="2"/>
      <c r="I106" s="3">
        <v>41.3</v>
      </c>
      <c r="J106" s="3">
        <v>43.38</v>
      </c>
      <c r="K106" s="3">
        <f t="shared" si="12"/>
        <v>2.0800000000000054</v>
      </c>
      <c r="L106" s="3">
        <f t="shared" si="24"/>
        <v>89.440000000000225</v>
      </c>
      <c r="M106" s="1"/>
      <c r="N106" s="1"/>
      <c r="O106" s="1"/>
      <c r="P106" s="1"/>
    </row>
    <row r="107" spans="1:16" x14ac:dyDescent="0.25">
      <c r="A107" s="1" t="s">
        <v>477</v>
      </c>
      <c r="B107" s="1"/>
      <c r="C107" s="1">
        <v>5000241576</v>
      </c>
      <c r="D107" s="1">
        <v>105</v>
      </c>
      <c r="E107" s="1" t="s">
        <v>81</v>
      </c>
      <c r="F107" s="1" t="s">
        <v>478</v>
      </c>
      <c r="G107" s="2">
        <v>9620</v>
      </c>
      <c r="H107" s="2"/>
      <c r="I107" s="3">
        <v>41.3</v>
      </c>
      <c r="J107" s="3">
        <v>43.38</v>
      </c>
      <c r="K107" s="3">
        <f t="shared" si="12"/>
        <v>2.0800000000000054</v>
      </c>
      <c r="L107" s="3">
        <f t="shared" si="24"/>
        <v>153.92000000000041</v>
      </c>
      <c r="M107" s="1"/>
      <c r="N107" s="1"/>
      <c r="O107" s="1"/>
      <c r="P107" s="1"/>
    </row>
    <row r="108" spans="1:16" x14ac:dyDescent="0.25">
      <c r="A108" s="1" t="s">
        <v>477</v>
      </c>
      <c r="B108" s="1"/>
      <c r="C108" s="1">
        <v>5000241576</v>
      </c>
      <c r="D108" s="1">
        <v>105</v>
      </c>
      <c r="E108" s="1" t="s">
        <v>81</v>
      </c>
      <c r="F108" s="1" t="s">
        <v>478</v>
      </c>
      <c r="G108" s="2">
        <v>1170</v>
      </c>
      <c r="H108" s="2"/>
      <c r="I108" s="3">
        <v>41.3</v>
      </c>
      <c r="J108" s="3">
        <v>43.38</v>
      </c>
      <c r="K108" s="3">
        <f t="shared" si="12"/>
        <v>2.0800000000000054</v>
      </c>
      <c r="L108" s="3">
        <f t="shared" si="24"/>
        <v>18.720000000000049</v>
      </c>
      <c r="M108" s="1"/>
      <c r="N108" s="1"/>
      <c r="O108" s="1"/>
      <c r="P108" s="1"/>
    </row>
    <row r="109" spans="1:16" x14ac:dyDescent="0.25">
      <c r="A109" s="1" t="s">
        <v>477</v>
      </c>
      <c r="B109" s="1"/>
      <c r="C109" s="1">
        <v>5000241576</v>
      </c>
      <c r="D109" s="1">
        <v>105</v>
      </c>
      <c r="E109" s="1" t="s">
        <v>81</v>
      </c>
      <c r="F109" s="1" t="s">
        <v>478</v>
      </c>
      <c r="G109" s="2">
        <v>14170</v>
      </c>
      <c r="H109" s="2"/>
      <c r="I109" s="3">
        <v>41.3</v>
      </c>
      <c r="J109" s="3">
        <v>43.38</v>
      </c>
      <c r="K109" s="3">
        <f t="shared" si="12"/>
        <v>2.0800000000000054</v>
      </c>
      <c r="L109" s="3">
        <f t="shared" si="24"/>
        <v>226.72000000000057</v>
      </c>
      <c r="M109" s="1"/>
      <c r="N109" s="1"/>
      <c r="O109" s="1"/>
      <c r="P109" s="1"/>
    </row>
    <row r="110" spans="1:16" x14ac:dyDescent="0.25">
      <c r="A110" s="1" t="s">
        <v>469</v>
      </c>
      <c r="B110" s="1"/>
      <c r="C110" s="1">
        <v>5000239230</v>
      </c>
      <c r="D110" s="1">
        <v>105</v>
      </c>
      <c r="E110" s="1" t="s">
        <v>81</v>
      </c>
      <c r="F110" s="1" t="s">
        <v>379</v>
      </c>
      <c r="G110" s="2">
        <v>82030</v>
      </c>
      <c r="H110" s="2"/>
      <c r="I110" s="3">
        <v>41.3</v>
      </c>
      <c r="J110" s="3">
        <v>43.38</v>
      </c>
      <c r="K110" s="3">
        <f t="shared" si="12"/>
        <v>2.0800000000000054</v>
      </c>
      <c r="L110" s="3">
        <f t="shared" si="24"/>
        <v>1312.4800000000032</v>
      </c>
      <c r="M110" s="1"/>
      <c r="N110" s="1"/>
      <c r="O110" s="1"/>
      <c r="P110" s="1"/>
    </row>
    <row r="111" spans="1:16" x14ac:dyDescent="0.25">
      <c r="A111" s="1" t="s">
        <v>469</v>
      </c>
      <c r="B111" s="1"/>
      <c r="C111" s="1">
        <v>5000239230</v>
      </c>
      <c r="D111" s="1">
        <v>105</v>
      </c>
      <c r="E111" s="1" t="s">
        <v>81</v>
      </c>
      <c r="F111" s="1" t="s">
        <v>379</v>
      </c>
      <c r="G111" s="2">
        <v>5330</v>
      </c>
      <c r="H111" s="2"/>
      <c r="I111" s="3">
        <v>41.3</v>
      </c>
      <c r="J111" s="3">
        <v>43.38</v>
      </c>
      <c r="K111" s="3">
        <f t="shared" si="12"/>
        <v>2.0800000000000054</v>
      </c>
      <c r="L111" s="3">
        <f t="shared" si="24"/>
        <v>85.280000000000214</v>
      </c>
      <c r="M111" s="1"/>
      <c r="N111" s="1"/>
      <c r="O111" s="1"/>
      <c r="P111" s="1"/>
    </row>
    <row r="112" spans="1:16" x14ac:dyDescent="0.25">
      <c r="A112" s="1" t="s">
        <v>467</v>
      </c>
      <c r="B112" s="1"/>
      <c r="C112" s="1">
        <v>5000242288</v>
      </c>
      <c r="D112" s="1">
        <v>105</v>
      </c>
      <c r="E112" s="1" t="s">
        <v>82</v>
      </c>
      <c r="F112" s="1" t="s">
        <v>468</v>
      </c>
      <c r="G112" s="2">
        <v>10400</v>
      </c>
      <c r="H112" s="2"/>
      <c r="I112" s="3">
        <v>41.3</v>
      </c>
      <c r="J112" s="3">
        <v>43.38</v>
      </c>
      <c r="K112" s="3">
        <f t="shared" si="12"/>
        <v>2.0800000000000054</v>
      </c>
      <c r="L112" s="3">
        <f t="shared" si="24"/>
        <v>166.40000000000043</v>
      </c>
      <c r="M112" s="1"/>
      <c r="N112" s="1"/>
      <c r="O112" s="1"/>
      <c r="P112" s="1"/>
    </row>
    <row r="113" spans="1:17" x14ac:dyDescent="0.25">
      <c r="A113" s="1" t="s">
        <v>469</v>
      </c>
      <c r="B113" s="1"/>
      <c r="C113" s="1">
        <v>5000239230</v>
      </c>
      <c r="D113" s="4">
        <v>105</v>
      </c>
      <c r="E113" s="4" t="s">
        <v>82</v>
      </c>
      <c r="F113" s="4" t="s">
        <v>379</v>
      </c>
      <c r="G113" s="124">
        <v>13000</v>
      </c>
      <c r="H113" s="124"/>
      <c r="I113" s="125">
        <v>41.3</v>
      </c>
      <c r="J113" s="125">
        <v>43.38</v>
      </c>
      <c r="K113" s="3">
        <f t="shared" si="12"/>
        <v>2.0800000000000054</v>
      </c>
      <c r="L113" s="3">
        <f t="shared" si="24"/>
        <v>208.00000000000054</v>
      </c>
      <c r="M113" s="1"/>
      <c r="N113" s="1"/>
      <c r="O113" s="1"/>
      <c r="P113" s="1"/>
    </row>
    <row r="114" spans="1:17" x14ac:dyDescent="0.25">
      <c r="A114" s="1" t="s">
        <v>452</v>
      </c>
      <c r="B114" s="1"/>
      <c r="C114" s="1">
        <v>5000239802</v>
      </c>
      <c r="D114" s="4">
        <v>105</v>
      </c>
      <c r="E114" s="4" t="s">
        <v>480</v>
      </c>
      <c r="F114" s="4" t="s">
        <v>379</v>
      </c>
      <c r="G114" s="124">
        <v>12805</v>
      </c>
      <c r="H114" s="124"/>
      <c r="I114" s="125">
        <v>36.5</v>
      </c>
      <c r="J114" s="125">
        <v>37.299999999999997</v>
      </c>
      <c r="K114" s="3">
        <f t="shared" si="12"/>
        <v>0.79999999999999716</v>
      </c>
      <c r="L114" s="3">
        <f t="shared" si="24"/>
        <v>78.799999999999727</v>
      </c>
      <c r="M114" s="1"/>
      <c r="N114" s="1"/>
      <c r="O114" s="1"/>
      <c r="P114" s="1"/>
    </row>
    <row r="115" spans="1:17" x14ac:dyDescent="0.25">
      <c r="A115" s="1" t="s">
        <v>452</v>
      </c>
      <c r="B115" s="1"/>
      <c r="C115" s="1">
        <v>5000239802</v>
      </c>
      <c r="D115" s="4">
        <v>105</v>
      </c>
      <c r="E115" s="4" t="s">
        <v>480</v>
      </c>
      <c r="F115" s="4" t="s">
        <v>379</v>
      </c>
      <c r="G115" s="124">
        <v>33995</v>
      </c>
      <c r="H115" s="124"/>
      <c r="I115" s="125">
        <v>36.5</v>
      </c>
      <c r="J115" s="125">
        <v>37.299999999999997</v>
      </c>
      <c r="K115" s="3">
        <f t="shared" si="12"/>
        <v>0.79999999999999716</v>
      </c>
      <c r="L115" s="3">
        <f t="shared" si="24"/>
        <v>209.19999999999925</v>
      </c>
      <c r="M115" s="1"/>
      <c r="N115" s="1"/>
      <c r="O115" s="1"/>
      <c r="P115" s="1"/>
    </row>
    <row r="116" spans="1:17" x14ac:dyDescent="0.25">
      <c r="A116" s="1" t="s">
        <v>469</v>
      </c>
      <c r="B116" s="1"/>
      <c r="C116" s="1">
        <v>5000239230</v>
      </c>
      <c r="D116" s="4">
        <v>105</v>
      </c>
      <c r="E116" s="4" t="s">
        <v>480</v>
      </c>
      <c r="F116" s="4" t="s">
        <v>379</v>
      </c>
      <c r="G116" s="124">
        <v>162240</v>
      </c>
      <c r="H116" s="124"/>
      <c r="I116" s="125">
        <v>36.5</v>
      </c>
      <c r="J116" s="125">
        <v>37.299999999999997</v>
      </c>
      <c r="K116" s="3">
        <f t="shared" si="12"/>
        <v>0.79999999999999716</v>
      </c>
      <c r="L116" s="3">
        <f t="shared" si="24"/>
        <v>998.39999999999645</v>
      </c>
      <c r="M116" s="1"/>
      <c r="N116" s="1"/>
      <c r="O116" s="1"/>
      <c r="P116" s="1"/>
    </row>
    <row r="117" spans="1:17" x14ac:dyDescent="0.25">
      <c r="A117" s="1" t="s">
        <v>472</v>
      </c>
      <c r="B117" s="1"/>
      <c r="C117" s="1">
        <v>5000239127</v>
      </c>
      <c r="D117" s="4">
        <v>105</v>
      </c>
      <c r="E117" s="4" t="s">
        <v>269</v>
      </c>
      <c r="F117" s="4" t="s">
        <v>379</v>
      </c>
      <c r="G117" s="124">
        <v>4680</v>
      </c>
      <c r="H117" s="124"/>
      <c r="I117" s="125">
        <v>55.9</v>
      </c>
      <c r="J117" s="125">
        <v>58.75</v>
      </c>
      <c r="K117" s="3">
        <f t="shared" si="12"/>
        <v>2.8500000000000014</v>
      </c>
      <c r="L117" s="3">
        <f t="shared" si="24"/>
        <v>102.60000000000005</v>
      </c>
      <c r="M117" s="1"/>
      <c r="N117" s="1"/>
      <c r="O117" s="1"/>
      <c r="P117" s="1"/>
    </row>
    <row r="118" spans="1:17" x14ac:dyDescent="0.25">
      <c r="A118" s="1" t="s">
        <v>470</v>
      </c>
      <c r="B118" s="1"/>
      <c r="C118" s="1">
        <v>5000242513</v>
      </c>
      <c r="D118" s="1">
        <v>105</v>
      </c>
      <c r="E118" s="1" t="s">
        <v>481</v>
      </c>
      <c r="F118" s="1" t="s">
        <v>381</v>
      </c>
      <c r="G118" s="2">
        <v>13000</v>
      </c>
      <c r="H118" s="2"/>
      <c r="I118" s="3">
        <v>55.9</v>
      </c>
      <c r="J118" s="3">
        <v>58.75</v>
      </c>
      <c r="K118" s="3">
        <f t="shared" si="12"/>
        <v>2.8500000000000014</v>
      </c>
      <c r="L118" s="3">
        <f t="shared" si="24"/>
        <v>285.00000000000017</v>
      </c>
      <c r="M118" s="1"/>
      <c r="N118" s="1"/>
      <c r="O118" s="1"/>
      <c r="P118" s="1"/>
    </row>
    <row r="119" spans="1:17" x14ac:dyDescent="0.25">
      <c r="A119" s="1" t="s">
        <v>452</v>
      </c>
      <c r="B119" s="1"/>
      <c r="C119" s="1">
        <v>5000239802</v>
      </c>
      <c r="D119" s="1">
        <v>105</v>
      </c>
      <c r="E119" s="1" t="s">
        <v>482</v>
      </c>
      <c r="F119" s="1" t="s">
        <v>379</v>
      </c>
      <c r="G119" s="2">
        <v>126425</v>
      </c>
      <c r="H119" s="2"/>
      <c r="I119" s="3">
        <v>150</v>
      </c>
      <c r="J119" s="3">
        <v>153</v>
      </c>
      <c r="K119" s="3">
        <f t="shared" si="12"/>
        <v>3</v>
      </c>
      <c r="L119" s="3">
        <f t="shared" ref="L119:L123" si="25">K119*G119/325</f>
        <v>1167</v>
      </c>
      <c r="M119" s="1"/>
      <c r="N119" s="1"/>
      <c r="O119" s="1"/>
      <c r="P119" s="1"/>
    </row>
    <row r="120" spans="1:17" x14ac:dyDescent="0.25">
      <c r="A120" s="1" t="s">
        <v>469</v>
      </c>
      <c r="B120" s="1"/>
      <c r="C120" s="1">
        <v>5000239230</v>
      </c>
      <c r="D120" s="1">
        <v>105</v>
      </c>
      <c r="E120" s="1" t="s">
        <v>482</v>
      </c>
      <c r="F120" s="1" t="s">
        <v>379</v>
      </c>
      <c r="G120" s="2">
        <v>41810</v>
      </c>
      <c r="H120" s="2"/>
      <c r="I120" s="3">
        <v>150</v>
      </c>
      <c r="J120" s="3">
        <v>153</v>
      </c>
      <c r="K120" s="3">
        <f t="shared" si="12"/>
        <v>3</v>
      </c>
      <c r="L120" s="3">
        <f t="shared" si="25"/>
        <v>385.93846153846152</v>
      </c>
      <c r="M120" s="1"/>
      <c r="N120" s="1"/>
      <c r="O120" s="1"/>
      <c r="P120" s="1"/>
    </row>
    <row r="121" spans="1:17" x14ac:dyDescent="0.25">
      <c r="A121" s="1" t="s">
        <v>469</v>
      </c>
      <c r="B121" s="1"/>
      <c r="C121" s="1">
        <v>5000239230</v>
      </c>
      <c r="D121" s="1">
        <v>105</v>
      </c>
      <c r="E121" s="1" t="s">
        <v>482</v>
      </c>
      <c r="F121" s="1" t="s">
        <v>379</v>
      </c>
      <c r="G121" s="2">
        <v>40680</v>
      </c>
      <c r="H121" s="2"/>
      <c r="I121" s="3">
        <v>150</v>
      </c>
      <c r="J121" s="3">
        <v>153</v>
      </c>
      <c r="K121" s="3">
        <f t="shared" ref="K121:K123" si="26">J121-I121</f>
        <v>3</v>
      </c>
      <c r="L121" s="3">
        <f t="shared" si="25"/>
        <v>375.50769230769231</v>
      </c>
      <c r="M121" s="1"/>
      <c r="N121" s="1"/>
      <c r="O121" s="1"/>
      <c r="P121" s="1"/>
    </row>
    <row r="122" spans="1:17" x14ac:dyDescent="0.25">
      <c r="A122" s="1" t="s">
        <v>469</v>
      </c>
      <c r="B122" s="1"/>
      <c r="C122" s="1">
        <v>5000239230</v>
      </c>
      <c r="D122" s="1">
        <v>105</v>
      </c>
      <c r="E122" s="1" t="s">
        <v>482</v>
      </c>
      <c r="F122" s="1" t="s">
        <v>379</v>
      </c>
      <c r="G122" s="2">
        <v>24760</v>
      </c>
      <c r="H122" s="2"/>
      <c r="I122" s="3">
        <v>150</v>
      </c>
      <c r="J122" s="3">
        <v>153</v>
      </c>
      <c r="K122" s="3">
        <f t="shared" si="26"/>
        <v>3</v>
      </c>
      <c r="L122" s="3">
        <f t="shared" si="25"/>
        <v>228.55384615384617</v>
      </c>
      <c r="M122" s="1"/>
      <c r="N122" s="1"/>
      <c r="O122" s="1"/>
      <c r="P122" s="1"/>
    </row>
    <row r="123" spans="1:17" x14ac:dyDescent="0.25">
      <c r="A123" s="1" t="s">
        <v>476</v>
      </c>
      <c r="B123" s="1"/>
      <c r="C123" s="1">
        <v>5000241305</v>
      </c>
      <c r="D123" s="1">
        <v>105</v>
      </c>
      <c r="E123" s="1" t="s">
        <v>111</v>
      </c>
      <c r="F123" s="1" t="s">
        <v>379</v>
      </c>
      <c r="G123" s="2">
        <v>37375</v>
      </c>
      <c r="H123" s="2"/>
      <c r="I123" s="3">
        <v>132.5</v>
      </c>
      <c r="J123" s="3">
        <v>137</v>
      </c>
      <c r="K123" s="3">
        <f t="shared" si="26"/>
        <v>4.5</v>
      </c>
      <c r="L123" s="3">
        <f t="shared" si="25"/>
        <v>517.5</v>
      </c>
      <c r="M123" s="1"/>
      <c r="N123" s="1"/>
      <c r="O123" s="1"/>
      <c r="P123" s="1"/>
    </row>
    <row r="124" spans="1:17" x14ac:dyDescent="0.25">
      <c r="A124" s="1"/>
      <c r="B124" s="1"/>
      <c r="C124" s="1"/>
      <c r="D124" s="1"/>
      <c r="E124" s="2"/>
      <c r="F124" s="1"/>
      <c r="G124" s="1"/>
      <c r="H124" s="1"/>
      <c r="I124" s="1"/>
      <c r="J124" s="3"/>
      <c r="K124" s="1"/>
      <c r="L124" s="1"/>
      <c r="M124" s="1"/>
      <c r="N124" s="1"/>
      <c r="O124" s="1"/>
      <c r="P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5" t="s">
        <v>58</v>
      </c>
      <c r="K125" s="5"/>
      <c r="L125" s="5">
        <f>SUM(L56:L123)</f>
        <v>40422.579999999929</v>
      </c>
      <c r="M125" s="5"/>
      <c r="N125" s="5"/>
      <c r="O125" s="5"/>
      <c r="P125" s="5">
        <f>SUM(P56:P123)</f>
        <v>5155.2000000000035</v>
      </c>
      <c r="Q125" s="6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7" x14ac:dyDescent="0.25">
      <c r="A127" s="1"/>
      <c r="B127" s="1"/>
      <c r="C127" s="1"/>
      <c r="D127" s="1"/>
      <c r="E127" s="1"/>
      <c r="F127" s="1"/>
      <c r="G127" s="2">
        <f>SUM(G56:G126)</f>
        <v>2562849</v>
      </c>
      <c r="H127" s="2">
        <f>SUM(H65:H126)</f>
        <v>1053000</v>
      </c>
      <c r="I127" s="5" t="s">
        <v>508</v>
      </c>
      <c r="J127" s="1"/>
      <c r="K127" s="1"/>
      <c r="L127" s="5">
        <f>L125+P125</f>
        <v>45577.779999999933</v>
      </c>
      <c r="M127" s="1"/>
      <c r="N127" s="1"/>
      <c r="O127" s="1"/>
      <c r="P127" s="1"/>
    </row>
    <row r="129" spans="1:18" x14ac:dyDescent="0.25">
      <c r="A129" s="5" t="s">
        <v>202</v>
      </c>
    </row>
    <row r="130" spans="1:18" x14ac:dyDescent="0.25">
      <c r="P130" s="8"/>
      <c r="Q130" s="8"/>
      <c r="R130" s="8"/>
    </row>
    <row r="131" spans="1:18" ht="15.75" customHeight="1" x14ac:dyDescent="0.25">
      <c r="A131" s="1" t="s">
        <v>172</v>
      </c>
      <c r="B131" s="1" t="s">
        <v>168</v>
      </c>
      <c r="C131" s="1" t="s">
        <v>167</v>
      </c>
      <c r="D131" s="1"/>
      <c r="E131" s="1" t="s">
        <v>169</v>
      </c>
      <c r="F131" s="1"/>
      <c r="G131" s="1" t="s">
        <v>22</v>
      </c>
      <c r="H131" s="1"/>
      <c r="I131" s="1" t="s">
        <v>24</v>
      </c>
      <c r="J131" s="1" t="s">
        <v>276</v>
      </c>
      <c r="K131" s="1" t="s">
        <v>170</v>
      </c>
      <c r="L131" s="1" t="s">
        <v>52</v>
      </c>
      <c r="M131" s="1" t="s">
        <v>21</v>
      </c>
      <c r="N131" s="1"/>
      <c r="O131" s="4"/>
      <c r="P131" s="8"/>
      <c r="Q131" s="8"/>
      <c r="R131" s="8"/>
    </row>
    <row r="132" spans="1:18" ht="15.75" customHeight="1" x14ac:dyDescent="0.25">
      <c r="A132" s="1" t="s">
        <v>483</v>
      </c>
      <c r="B132" s="1"/>
      <c r="C132" s="1">
        <v>5000242794</v>
      </c>
      <c r="D132" s="1">
        <v>105</v>
      </c>
      <c r="E132" s="1" t="s">
        <v>484</v>
      </c>
      <c r="F132" s="1" t="s">
        <v>485</v>
      </c>
      <c r="G132" s="3">
        <v>1683.84</v>
      </c>
      <c r="H132" s="3"/>
      <c r="I132" s="1" t="s">
        <v>23</v>
      </c>
      <c r="J132" s="1">
        <v>72.5</v>
      </c>
      <c r="K132" s="1">
        <v>75.05</v>
      </c>
      <c r="L132" s="1">
        <f>K132-J132</f>
        <v>2.5499999999999972</v>
      </c>
      <c r="M132" s="1">
        <f>G132*L132</f>
        <v>4293.7919999999949</v>
      </c>
      <c r="N132" s="1"/>
      <c r="O132" s="4"/>
      <c r="P132" s="8"/>
      <c r="Q132" s="8"/>
      <c r="R132" s="8"/>
    </row>
    <row r="133" spans="1:18" ht="15.75" customHeight="1" x14ac:dyDescent="0.25">
      <c r="A133" s="1" t="s">
        <v>486</v>
      </c>
      <c r="B133" s="1"/>
      <c r="C133" s="1">
        <v>5000243158</v>
      </c>
      <c r="D133" s="1">
        <v>105</v>
      </c>
      <c r="E133" s="1" t="s">
        <v>89</v>
      </c>
      <c r="F133" s="1" t="s">
        <v>487</v>
      </c>
      <c r="G133" s="1">
        <v>500</v>
      </c>
      <c r="H133" s="1"/>
      <c r="I133" s="1" t="s">
        <v>23</v>
      </c>
      <c r="J133" s="1">
        <v>72.5</v>
      </c>
      <c r="K133" s="1">
        <v>75.05</v>
      </c>
      <c r="L133" s="1">
        <f t="shared" ref="L133:L169" si="27">K133-J133</f>
        <v>2.5499999999999972</v>
      </c>
      <c r="M133" s="1">
        <f t="shared" ref="M133:M169" si="28">G133*L133</f>
        <v>1274.9999999999986</v>
      </c>
      <c r="N133" s="1"/>
      <c r="O133" s="4"/>
    </row>
    <row r="134" spans="1:18" ht="15.75" customHeight="1" x14ac:dyDescent="0.25">
      <c r="A134" s="1" t="s">
        <v>486</v>
      </c>
      <c r="B134" s="1"/>
      <c r="C134" s="1">
        <v>5000243158</v>
      </c>
      <c r="D134" s="1">
        <v>105</v>
      </c>
      <c r="E134" s="1" t="s">
        <v>89</v>
      </c>
      <c r="F134" s="1" t="s">
        <v>487</v>
      </c>
      <c r="G134" s="1">
        <v>50.18</v>
      </c>
      <c r="H134" s="1"/>
      <c r="I134" s="1" t="s">
        <v>23</v>
      </c>
      <c r="J134" s="1">
        <v>72.5</v>
      </c>
      <c r="K134" s="1">
        <v>75.05</v>
      </c>
      <c r="L134" s="1">
        <f t="shared" si="27"/>
        <v>2.5499999999999972</v>
      </c>
      <c r="M134" s="1">
        <f t="shared" si="28"/>
        <v>127.95899999999986</v>
      </c>
      <c r="N134" s="1"/>
      <c r="O134" s="4"/>
    </row>
    <row r="135" spans="1:18" ht="15.75" customHeight="1" x14ac:dyDescent="0.25">
      <c r="A135" s="1" t="s">
        <v>483</v>
      </c>
      <c r="B135" s="1"/>
      <c r="C135" s="1">
        <v>5000242794</v>
      </c>
      <c r="D135" s="1">
        <v>105</v>
      </c>
      <c r="E135" s="1" t="s">
        <v>89</v>
      </c>
      <c r="F135" s="1" t="s">
        <v>485</v>
      </c>
      <c r="G135" s="3">
        <v>1220.1500000000001</v>
      </c>
      <c r="H135" s="3"/>
      <c r="I135" s="1" t="s">
        <v>23</v>
      </c>
      <c r="J135" s="1">
        <v>72.5</v>
      </c>
      <c r="K135" s="1">
        <v>75.05</v>
      </c>
      <c r="L135" s="1">
        <f t="shared" si="27"/>
        <v>2.5499999999999972</v>
      </c>
      <c r="M135" s="1">
        <f t="shared" si="28"/>
        <v>3111.382499999997</v>
      </c>
      <c r="N135" s="1"/>
      <c r="O135" s="4"/>
    </row>
    <row r="136" spans="1:18" ht="15.75" customHeight="1" x14ac:dyDescent="0.25">
      <c r="A136" s="1" t="s">
        <v>488</v>
      </c>
      <c r="B136" s="1"/>
      <c r="C136" s="1">
        <v>5000242040</v>
      </c>
      <c r="D136" s="1">
        <v>105</v>
      </c>
      <c r="E136" s="1" t="s">
        <v>89</v>
      </c>
      <c r="F136" s="1" t="s">
        <v>489</v>
      </c>
      <c r="G136" s="1">
        <v>477.97</v>
      </c>
      <c r="H136" s="1"/>
      <c r="I136" s="1" t="s">
        <v>23</v>
      </c>
      <c r="J136" s="1">
        <v>72.5</v>
      </c>
      <c r="K136" s="1">
        <v>75.05</v>
      </c>
      <c r="L136" s="1">
        <f t="shared" si="27"/>
        <v>2.5499999999999972</v>
      </c>
      <c r="M136" s="1">
        <f t="shared" si="28"/>
        <v>1218.8234999999986</v>
      </c>
      <c r="N136" s="1"/>
      <c r="O136" s="4"/>
    </row>
    <row r="137" spans="1:18" ht="15.75" customHeight="1" x14ac:dyDescent="0.25">
      <c r="A137" s="1" t="s">
        <v>488</v>
      </c>
      <c r="B137" s="1"/>
      <c r="C137" s="1">
        <v>5000242040</v>
      </c>
      <c r="D137" s="1">
        <v>105</v>
      </c>
      <c r="E137" s="1" t="s">
        <v>89</v>
      </c>
      <c r="F137" s="1" t="s">
        <v>489</v>
      </c>
      <c r="G137" s="1">
        <v>213.41</v>
      </c>
      <c r="H137" s="1"/>
      <c r="I137" s="1" t="s">
        <v>23</v>
      </c>
      <c r="J137" s="1">
        <v>72.5</v>
      </c>
      <c r="K137" s="1">
        <v>75.05</v>
      </c>
      <c r="L137" s="1">
        <f t="shared" si="27"/>
        <v>2.5499999999999972</v>
      </c>
      <c r="M137" s="1">
        <f t="shared" si="28"/>
        <v>544.19549999999936</v>
      </c>
      <c r="N137" s="1"/>
      <c r="O137" s="4"/>
    </row>
    <row r="138" spans="1:18" ht="15.75" customHeight="1" x14ac:dyDescent="0.25">
      <c r="A138" s="1" t="s">
        <v>490</v>
      </c>
      <c r="B138" s="1"/>
      <c r="C138" s="1">
        <v>5000241034</v>
      </c>
      <c r="D138" s="1">
        <v>105</v>
      </c>
      <c r="E138" s="1" t="s">
        <v>89</v>
      </c>
      <c r="F138" s="1" t="s">
        <v>485</v>
      </c>
      <c r="G138" s="3">
        <v>1687.49</v>
      </c>
      <c r="H138" s="3"/>
      <c r="I138" s="1" t="s">
        <v>23</v>
      </c>
      <c r="J138" s="1">
        <v>72.5</v>
      </c>
      <c r="K138" s="1">
        <v>75.05</v>
      </c>
      <c r="L138" s="1">
        <f t="shared" si="27"/>
        <v>2.5499999999999972</v>
      </c>
      <c r="M138" s="1">
        <f t="shared" si="28"/>
        <v>4303.0994999999948</v>
      </c>
      <c r="N138" s="1"/>
      <c r="O138" s="4"/>
    </row>
    <row r="139" spans="1:18" ht="15.75" customHeight="1" x14ac:dyDescent="0.25">
      <c r="A139" s="1" t="s">
        <v>491</v>
      </c>
      <c r="B139" s="1"/>
      <c r="C139" s="1">
        <v>5000239060</v>
      </c>
      <c r="D139" s="1">
        <v>105</v>
      </c>
      <c r="E139" s="1" t="s">
        <v>89</v>
      </c>
      <c r="F139" s="1" t="s">
        <v>492</v>
      </c>
      <c r="G139" s="3">
        <v>1083.54</v>
      </c>
      <c r="H139" s="3"/>
      <c r="I139" s="1" t="s">
        <v>23</v>
      </c>
      <c r="J139" s="1">
        <v>72.5</v>
      </c>
      <c r="K139" s="1">
        <v>75.05</v>
      </c>
      <c r="L139" s="1">
        <f t="shared" si="27"/>
        <v>2.5499999999999972</v>
      </c>
      <c r="M139" s="1">
        <f t="shared" si="28"/>
        <v>2763.0269999999969</v>
      </c>
      <c r="N139" s="1"/>
      <c r="O139" s="4"/>
    </row>
    <row r="140" spans="1:18" ht="15.75" customHeight="1" x14ac:dyDescent="0.25">
      <c r="A140" s="1" t="s">
        <v>479</v>
      </c>
      <c r="B140" s="1"/>
      <c r="C140" s="1">
        <v>5000238386</v>
      </c>
      <c r="D140" s="1">
        <v>105</v>
      </c>
      <c r="E140" s="1" t="s">
        <v>89</v>
      </c>
      <c r="F140" s="1" t="s">
        <v>493</v>
      </c>
      <c r="G140" s="1">
        <v>116.32</v>
      </c>
      <c r="H140" s="1"/>
      <c r="I140" s="1" t="s">
        <v>23</v>
      </c>
      <c r="J140" s="1">
        <v>72.5</v>
      </c>
      <c r="K140" s="1">
        <v>75.05</v>
      </c>
      <c r="L140" s="1">
        <f t="shared" si="27"/>
        <v>2.5499999999999972</v>
      </c>
      <c r="M140" s="1">
        <f t="shared" si="28"/>
        <v>296.61599999999964</v>
      </c>
      <c r="N140" s="1"/>
      <c r="O140" s="4"/>
    </row>
    <row r="141" spans="1:18" ht="15.75" customHeight="1" x14ac:dyDescent="0.25">
      <c r="A141" s="1" t="s">
        <v>479</v>
      </c>
      <c r="B141" s="1"/>
      <c r="C141" s="1">
        <v>5000238386</v>
      </c>
      <c r="D141" s="1">
        <v>105</v>
      </c>
      <c r="E141" s="1" t="s">
        <v>89</v>
      </c>
      <c r="F141" s="1" t="s">
        <v>493</v>
      </c>
      <c r="G141" s="1">
        <v>459</v>
      </c>
      <c r="H141" s="1"/>
      <c r="I141" s="1" t="s">
        <v>23</v>
      </c>
      <c r="J141" s="1">
        <v>72.5</v>
      </c>
      <c r="K141" s="1">
        <v>75.05</v>
      </c>
      <c r="L141" s="1">
        <f t="shared" si="27"/>
        <v>2.5499999999999972</v>
      </c>
      <c r="M141" s="1">
        <f t="shared" si="28"/>
        <v>1170.4499999999987</v>
      </c>
      <c r="N141" s="1"/>
      <c r="O141" s="4"/>
    </row>
    <row r="142" spans="1:18" ht="15.75" customHeight="1" x14ac:dyDescent="0.25">
      <c r="A142" s="1" t="s">
        <v>479</v>
      </c>
      <c r="B142" s="1"/>
      <c r="C142" s="1">
        <v>5000238386</v>
      </c>
      <c r="D142" s="1">
        <v>105</v>
      </c>
      <c r="E142" s="1" t="s">
        <v>89</v>
      </c>
      <c r="F142" s="1" t="s">
        <v>493</v>
      </c>
      <c r="G142" s="1">
        <v>91</v>
      </c>
      <c r="H142" s="1"/>
      <c r="I142" s="1" t="s">
        <v>23</v>
      </c>
      <c r="J142" s="1">
        <v>72.5</v>
      </c>
      <c r="K142" s="1">
        <v>75.05</v>
      </c>
      <c r="L142" s="1">
        <f t="shared" si="27"/>
        <v>2.5499999999999972</v>
      </c>
      <c r="M142" s="1">
        <f t="shared" si="28"/>
        <v>232.04999999999973</v>
      </c>
      <c r="N142" s="1"/>
      <c r="O142" s="4"/>
    </row>
    <row r="143" spans="1:18" ht="15.75" customHeight="1" x14ac:dyDescent="0.25">
      <c r="A143" s="1" t="s">
        <v>488</v>
      </c>
      <c r="B143" s="1"/>
      <c r="C143" s="1">
        <v>5000242040</v>
      </c>
      <c r="D143" s="1">
        <v>105</v>
      </c>
      <c r="E143" s="1" t="s">
        <v>108</v>
      </c>
      <c r="F143" s="1" t="s">
        <v>489</v>
      </c>
      <c r="G143" s="1">
        <v>105.03</v>
      </c>
      <c r="H143" s="1"/>
      <c r="I143" s="1" t="s">
        <v>23</v>
      </c>
      <c r="J143" s="1">
        <v>72.5</v>
      </c>
      <c r="K143" s="1">
        <v>75.05</v>
      </c>
      <c r="L143" s="1">
        <f t="shared" si="27"/>
        <v>2.5499999999999972</v>
      </c>
      <c r="M143" s="1">
        <f t="shared" si="28"/>
        <v>267.82649999999973</v>
      </c>
      <c r="N143" s="1"/>
      <c r="O143" s="4"/>
    </row>
    <row r="144" spans="1:18" ht="15.75" customHeight="1" x14ac:dyDescent="0.25">
      <c r="A144" s="1" t="s">
        <v>488</v>
      </c>
      <c r="B144" s="1"/>
      <c r="C144" s="1">
        <v>5000242040</v>
      </c>
      <c r="D144" s="1">
        <v>105</v>
      </c>
      <c r="E144" s="1" t="s">
        <v>108</v>
      </c>
      <c r="F144" s="1" t="s">
        <v>489</v>
      </c>
      <c r="G144" s="1">
        <v>125.08</v>
      </c>
      <c r="H144" s="1"/>
      <c r="I144" s="1" t="s">
        <v>23</v>
      </c>
      <c r="J144" s="1">
        <v>72.5</v>
      </c>
      <c r="K144" s="1">
        <v>75.05</v>
      </c>
      <c r="L144" s="1">
        <f t="shared" si="27"/>
        <v>2.5499999999999972</v>
      </c>
      <c r="M144" s="1">
        <f t="shared" si="28"/>
        <v>318.95399999999967</v>
      </c>
      <c r="N144" s="1"/>
      <c r="O144" s="4"/>
    </row>
    <row r="145" spans="1:15" ht="15.75" customHeight="1" x14ac:dyDescent="0.25">
      <c r="A145" s="1" t="s">
        <v>488</v>
      </c>
      <c r="B145" s="1"/>
      <c r="C145" s="1">
        <v>5000242040</v>
      </c>
      <c r="D145" s="1">
        <v>105</v>
      </c>
      <c r="E145" s="1" t="s">
        <v>108</v>
      </c>
      <c r="F145" s="1" t="s">
        <v>489</v>
      </c>
      <c r="G145" s="1">
        <v>227.58</v>
      </c>
      <c r="H145" s="1"/>
      <c r="I145" s="1" t="s">
        <v>23</v>
      </c>
      <c r="J145" s="1">
        <v>72.5</v>
      </c>
      <c r="K145" s="1">
        <v>75.05</v>
      </c>
      <c r="L145" s="1">
        <f t="shared" si="27"/>
        <v>2.5499999999999972</v>
      </c>
      <c r="M145" s="1">
        <f t="shared" si="28"/>
        <v>580.32899999999938</v>
      </c>
      <c r="N145" s="1"/>
      <c r="O145" s="4"/>
    </row>
    <row r="146" spans="1:15" ht="15.75" customHeight="1" x14ac:dyDescent="0.25">
      <c r="A146" s="1" t="s">
        <v>488</v>
      </c>
      <c r="B146" s="1"/>
      <c r="C146" s="1">
        <v>5000242040</v>
      </c>
      <c r="D146" s="1">
        <v>105</v>
      </c>
      <c r="E146" s="1" t="s">
        <v>108</v>
      </c>
      <c r="F146" s="1" t="s">
        <v>489</v>
      </c>
      <c r="G146" s="1">
        <v>424.55</v>
      </c>
      <c r="H146" s="1"/>
      <c r="I146" s="1" t="s">
        <v>23</v>
      </c>
      <c r="J146" s="1">
        <v>72.5</v>
      </c>
      <c r="K146" s="1">
        <v>75.05</v>
      </c>
      <c r="L146" s="1">
        <f t="shared" si="27"/>
        <v>2.5499999999999972</v>
      </c>
      <c r="M146" s="1">
        <f t="shared" si="28"/>
        <v>1082.6024999999988</v>
      </c>
      <c r="N146" s="1"/>
      <c r="O146" s="4"/>
    </row>
    <row r="147" spans="1:15" ht="15.75" customHeight="1" x14ac:dyDescent="0.25">
      <c r="A147" s="1" t="s">
        <v>490</v>
      </c>
      <c r="B147" s="1"/>
      <c r="C147" s="1">
        <v>5000241034</v>
      </c>
      <c r="D147" s="1">
        <v>105</v>
      </c>
      <c r="E147" s="1" t="s">
        <v>108</v>
      </c>
      <c r="F147" s="1" t="s">
        <v>485</v>
      </c>
      <c r="G147" s="1">
        <v>764.47</v>
      </c>
      <c r="H147" s="1"/>
      <c r="I147" s="1" t="s">
        <v>23</v>
      </c>
      <c r="J147" s="1">
        <v>72.5</v>
      </c>
      <c r="K147" s="1">
        <v>75.05</v>
      </c>
      <c r="L147" s="1">
        <f t="shared" si="27"/>
        <v>2.5499999999999972</v>
      </c>
      <c r="M147" s="1">
        <f t="shared" si="28"/>
        <v>1949.398499999998</v>
      </c>
      <c r="N147" s="1"/>
      <c r="O147" s="4"/>
    </row>
    <row r="148" spans="1:15" ht="15.75" customHeight="1" x14ac:dyDescent="0.25">
      <c r="A148" s="1" t="s">
        <v>451</v>
      </c>
      <c r="B148" s="1"/>
      <c r="C148" s="1">
        <v>5000240455</v>
      </c>
      <c r="D148" s="1">
        <v>105</v>
      </c>
      <c r="E148" s="1" t="s">
        <v>108</v>
      </c>
      <c r="F148" s="1" t="s">
        <v>494</v>
      </c>
      <c r="G148" s="3">
        <v>1137.3800000000001</v>
      </c>
      <c r="H148" s="3"/>
      <c r="I148" s="1" t="s">
        <v>23</v>
      </c>
      <c r="J148" s="1">
        <v>72.5</v>
      </c>
      <c r="K148" s="1">
        <v>75.05</v>
      </c>
      <c r="L148" s="1">
        <f t="shared" si="27"/>
        <v>2.5499999999999972</v>
      </c>
      <c r="M148" s="1">
        <f t="shared" si="28"/>
        <v>2900.3189999999972</v>
      </c>
      <c r="N148" s="1"/>
      <c r="O148" s="4"/>
    </row>
    <row r="149" spans="1:15" ht="15.75" customHeight="1" x14ac:dyDescent="0.25">
      <c r="A149" s="1" t="s">
        <v>452</v>
      </c>
      <c r="B149" s="1"/>
      <c r="C149" s="1">
        <v>5000240458</v>
      </c>
      <c r="D149" s="1">
        <v>105</v>
      </c>
      <c r="E149" s="1" t="s">
        <v>108</v>
      </c>
      <c r="F149" s="1" t="s">
        <v>383</v>
      </c>
      <c r="G149" s="1">
        <v>973.07</v>
      </c>
      <c r="H149" s="1"/>
      <c r="I149" s="1" t="s">
        <v>23</v>
      </c>
      <c r="J149" s="1">
        <v>72.5</v>
      </c>
      <c r="K149" s="1">
        <v>75.05</v>
      </c>
      <c r="L149" s="1">
        <f t="shared" si="27"/>
        <v>2.5499999999999972</v>
      </c>
      <c r="M149" s="1">
        <f t="shared" si="28"/>
        <v>2481.3284999999973</v>
      </c>
      <c r="N149" s="1"/>
      <c r="O149" s="4"/>
    </row>
    <row r="150" spans="1:15" ht="15.75" customHeight="1" x14ac:dyDescent="0.25">
      <c r="A150" s="1" t="s">
        <v>452</v>
      </c>
      <c r="B150" s="1"/>
      <c r="C150" s="1">
        <v>5000240458</v>
      </c>
      <c r="D150" s="1">
        <v>105</v>
      </c>
      <c r="E150" s="1" t="s">
        <v>108</v>
      </c>
      <c r="F150" s="1" t="s">
        <v>383</v>
      </c>
      <c r="G150" s="1">
        <v>191.43</v>
      </c>
      <c r="H150" s="1"/>
      <c r="I150" s="1" t="s">
        <v>23</v>
      </c>
      <c r="J150" s="1">
        <v>72.5</v>
      </c>
      <c r="K150" s="1">
        <v>75.05</v>
      </c>
      <c r="L150" s="1">
        <f t="shared" si="27"/>
        <v>2.5499999999999972</v>
      </c>
      <c r="M150" s="1">
        <f t="shared" si="28"/>
        <v>488.14649999999949</v>
      </c>
      <c r="N150" s="1"/>
      <c r="O150" s="4"/>
    </row>
    <row r="151" spans="1:15" ht="15.75" customHeight="1" x14ac:dyDescent="0.25">
      <c r="A151" s="1" t="s">
        <v>456</v>
      </c>
      <c r="B151" s="1"/>
      <c r="C151" s="1">
        <v>5000239545</v>
      </c>
      <c r="D151" s="1">
        <v>105</v>
      </c>
      <c r="E151" s="1" t="s">
        <v>108</v>
      </c>
      <c r="F151" s="1" t="s">
        <v>495</v>
      </c>
      <c r="G151" s="2">
        <v>1010</v>
      </c>
      <c r="H151" s="2"/>
      <c r="I151" s="1" t="s">
        <v>23</v>
      </c>
      <c r="J151" s="1">
        <v>72.5</v>
      </c>
      <c r="K151" s="1">
        <v>75.05</v>
      </c>
      <c r="L151" s="1">
        <f t="shared" si="27"/>
        <v>2.5499999999999972</v>
      </c>
      <c r="M151" s="1">
        <f t="shared" si="28"/>
        <v>2575.4999999999973</v>
      </c>
      <c r="N151" s="1"/>
      <c r="O151" s="4"/>
    </row>
    <row r="152" spans="1:15" ht="15.75" customHeight="1" x14ac:dyDescent="0.25">
      <c r="A152" s="1" t="s">
        <v>456</v>
      </c>
      <c r="B152" s="1"/>
      <c r="C152" s="1">
        <v>5000239545</v>
      </c>
      <c r="D152" s="1">
        <v>105</v>
      </c>
      <c r="E152" s="1" t="s">
        <v>108</v>
      </c>
      <c r="F152" s="1" t="s">
        <v>495</v>
      </c>
      <c r="G152" s="1">
        <v>672.42</v>
      </c>
      <c r="H152" s="1"/>
      <c r="I152" s="1" t="s">
        <v>23</v>
      </c>
      <c r="J152" s="1">
        <v>72.5</v>
      </c>
      <c r="K152" s="1">
        <v>75.05</v>
      </c>
      <c r="L152" s="1">
        <f t="shared" si="27"/>
        <v>2.5499999999999972</v>
      </c>
      <c r="M152" s="1">
        <f t="shared" si="28"/>
        <v>1714.670999999998</v>
      </c>
      <c r="N152" s="1"/>
      <c r="O152" s="4"/>
    </row>
    <row r="153" spans="1:15" ht="15.75" customHeight="1" x14ac:dyDescent="0.25">
      <c r="A153" s="1" t="s">
        <v>496</v>
      </c>
      <c r="B153" s="1"/>
      <c r="C153" s="1">
        <v>5000243545</v>
      </c>
      <c r="D153" s="1">
        <v>105</v>
      </c>
      <c r="E153" s="1" t="s">
        <v>88</v>
      </c>
      <c r="F153" s="1" t="s">
        <v>497</v>
      </c>
      <c r="G153" s="1">
        <v>207.89</v>
      </c>
      <c r="H153" s="1"/>
      <c r="I153" s="1" t="s">
        <v>23</v>
      </c>
      <c r="J153" s="1">
        <v>72.5</v>
      </c>
      <c r="K153" s="1">
        <v>75.05</v>
      </c>
      <c r="L153" s="1">
        <f t="shared" si="27"/>
        <v>2.5499999999999972</v>
      </c>
      <c r="M153" s="1">
        <f t="shared" si="28"/>
        <v>530.11949999999933</v>
      </c>
      <c r="N153" s="1"/>
      <c r="O153" s="4"/>
    </row>
    <row r="154" spans="1:15" ht="15.75" customHeight="1" x14ac:dyDescent="0.25">
      <c r="A154" s="1" t="s">
        <v>496</v>
      </c>
      <c r="B154" s="1"/>
      <c r="C154" s="1">
        <v>5000243545</v>
      </c>
      <c r="D154" s="1">
        <v>105</v>
      </c>
      <c r="E154" s="1" t="s">
        <v>88</v>
      </c>
      <c r="F154" s="1" t="s">
        <v>497</v>
      </c>
      <c r="G154" s="1">
        <v>402.88</v>
      </c>
      <c r="H154" s="1"/>
      <c r="I154" s="1" t="s">
        <v>23</v>
      </c>
      <c r="J154" s="1">
        <v>72.5</v>
      </c>
      <c r="K154" s="1">
        <v>75.05</v>
      </c>
      <c r="L154" s="1">
        <f t="shared" si="27"/>
        <v>2.5499999999999972</v>
      </c>
      <c r="M154" s="1">
        <f t="shared" si="28"/>
        <v>1027.3439999999989</v>
      </c>
      <c r="N154" s="1"/>
      <c r="O154" s="4"/>
    </row>
    <row r="155" spans="1:15" ht="15.75" customHeight="1" x14ac:dyDescent="0.25">
      <c r="A155" s="1" t="s">
        <v>496</v>
      </c>
      <c r="B155" s="1"/>
      <c r="C155" s="1">
        <v>5000243545</v>
      </c>
      <c r="D155" s="1">
        <v>105</v>
      </c>
      <c r="E155" s="1" t="s">
        <v>88</v>
      </c>
      <c r="F155" s="1" t="s">
        <v>497</v>
      </c>
      <c r="G155" s="1">
        <v>15.23</v>
      </c>
      <c r="H155" s="1"/>
      <c r="I155" s="1" t="s">
        <v>23</v>
      </c>
      <c r="J155" s="1">
        <v>72.5</v>
      </c>
      <c r="K155" s="1">
        <v>75.05</v>
      </c>
      <c r="L155" s="1">
        <f t="shared" si="27"/>
        <v>2.5499999999999972</v>
      </c>
      <c r="M155" s="1">
        <f t="shared" si="28"/>
        <v>38.836499999999958</v>
      </c>
      <c r="N155" s="1"/>
      <c r="O155" s="4"/>
    </row>
    <row r="156" spans="1:15" ht="15.75" customHeight="1" x14ac:dyDescent="0.25">
      <c r="A156" s="1" t="s">
        <v>479</v>
      </c>
      <c r="B156" s="1"/>
      <c r="C156" s="1">
        <v>5000238386</v>
      </c>
      <c r="D156" s="1">
        <v>105</v>
      </c>
      <c r="E156" s="1" t="s">
        <v>88</v>
      </c>
      <c r="F156" s="1" t="s">
        <v>493</v>
      </c>
      <c r="G156" s="1">
        <v>257</v>
      </c>
      <c r="H156" s="1"/>
      <c r="I156" s="1" t="s">
        <v>23</v>
      </c>
      <c r="J156" s="1">
        <v>72.5</v>
      </c>
      <c r="K156" s="1">
        <v>75.05</v>
      </c>
      <c r="L156" s="1">
        <f t="shared" si="27"/>
        <v>2.5499999999999972</v>
      </c>
      <c r="M156" s="1">
        <f t="shared" si="28"/>
        <v>655.34999999999923</v>
      </c>
      <c r="N156" s="1"/>
      <c r="O156" s="4"/>
    </row>
    <row r="157" spans="1:15" ht="15.75" customHeight="1" x14ac:dyDescent="0.25">
      <c r="A157" s="1" t="s">
        <v>479</v>
      </c>
      <c r="B157" s="1"/>
      <c r="C157" s="1">
        <v>5000238386</v>
      </c>
      <c r="D157" s="1">
        <v>105</v>
      </c>
      <c r="E157" s="1" t="s">
        <v>88</v>
      </c>
      <c r="F157" s="1" t="s">
        <v>493</v>
      </c>
      <c r="G157" s="3">
        <v>1312.11</v>
      </c>
      <c r="H157" s="3"/>
      <c r="I157" s="1" t="s">
        <v>23</v>
      </c>
      <c r="J157" s="1">
        <v>72.5</v>
      </c>
      <c r="K157" s="1">
        <v>75.05</v>
      </c>
      <c r="L157" s="1">
        <f t="shared" si="27"/>
        <v>2.5499999999999972</v>
      </c>
      <c r="M157" s="1">
        <f t="shared" si="28"/>
        <v>3345.8804999999961</v>
      </c>
      <c r="N157" s="1"/>
      <c r="O157" s="4"/>
    </row>
    <row r="158" spans="1:15" ht="15.75" customHeight="1" x14ac:dyDescent="0.25">
      <c r="A158" s="1" t="s">
        <v>472</v>
      </c>
      <c r="B158" s="1"/>
      <c r="C158" s="1">
        <v>5000239143</v>
      </c>
      <c r="D158" s="1">
        <v>105</v>
      </c>
      <c r="E158" s="1" t="s">
        <v>158</v>
      </c>
      <c r="F158" s="1" t="s">
        <v>498</v>
      </c>
      <c r="G158" s="2">
        <v>1000</v>
      </c>
      <c r="H158" s="2"/>
      <c r="I158" s="1" t="s">
        <v>23</v>
      </c>
      <c r="J158" s="1">
        <v>72</v>
      </c>
      <c r="K158" s="1">
        <v>74.5</v>
      </c>
      <c r="L158" s="1">
        <f t="shared" si="27"/>
        <v>2.5</v>
      </c>
      <c r="M158" s="1">
        <f t="shared" si="28"/>
        <v>2500</v>
      </c>
      <c r="N158" s="1"/>
      <c r="O158" s="4"/>
    </row>
    <row r="159" spans="1:15" ht="15.75" customHeight="1" x14ac:dyDescent="0.25">
      <c r="A159" s="1" t="s">
        <v>472</v>
      </c>
      <c r="B159" s="1"/>
      <c r="C159" s="1">
        <v>5000239143</v>
      </c>
      <c r="D159" s="1">
        <v>105</v>
      </c>
      <c r="E159" s="1" t="s">
        <v>158</v>
      </c>
      <c r="F159" s="1" t="s">
        <v>498</v>
      </c>
      <c r="G159" s="2">
        <v>1100</v>
      </c>
      <c r="H159" s="2"/>
      <c r="I159" s="1" t="s">
        <v>23</v>
      </c>
      <c r="J159" s="1">
        <v>72</v>
      </c>
      <c r="K159" s="1">
        <v>74.5</v>
      </c>
      <c r="L159" s="1">
        <f t="shared" si="27"/>
        <v>2.5</v>
      </c>
      <c r="M159" s="1">
        <f t="shared" si="28"/>
        <v>2750</v>
      </c>
      <c r="N159" s="1"/>
      <c r="O159" s="4"/>
    </row>
    <row r="160" spans="1:15" ht="15.75" customHeight="1" x14ac:dyDescent="0.25">
      <c r="A160" s="1" t="s">
        <v>472</v>
      </c>
      <c r="B160" s="1"/>
      <c r="C160" s="1">
        <v>5000239143</v>
      </c>
      <c r="D160" s="1">
        <v>105</v>
      </c>
      <c r="E160" s="1" t="s">
        <v>158</v>
      </c>
      <c r="F160" s="1" t="s">
        <v>498</v>
      </c>
      <c r="G160" s="1">
        <v>759.56</v>
      </c>
      <c r="H160" s="1"/>
      <c r="I160" s="1" t="s">
        <v>23</v>
      </c>
      <c r="J160" s="1">
        <v>72</v>
      </c>
      <c r="K160" s="1">
        <v>74.5</v>
      </c>
      <c r="L160" s="1">
        <f t="shared" si="27"/>
        <v>2.5</v>
      </c>
      <c r="M160" s="1">
        <f t="shared" si="28"/>
        <v>1898.8999999999999</v>
      </c>
      <c r="N160" s="1"/>
      <c r="O160" s="4"/>
    </row>
    <row r="161" spans="1:17" ht="15.75" customHeight="1" x14ac:dyDescent="0.25">
      <c r="A161" s="1" t="s">
        <v>476</v>
      </c>
      <c r="B161" s="1"/>
      <c r="C161" s="1">
        <v>5000241438</v>
      </c>
      <c r="D161" s="1">
        <v>105</v>
      </c>
      <c r="E161" s="1" t="s">
        <v>91</v>
      </c>
      <c r="F161" s="1" t="s">
        <v>485</v>
      </c>
      <c r="G161" s="1">
        <v>426.08</v>
      </c>
      <c r="H161" s="1"/>
      <c r="I161" s="1" t="s">
        <v>23</v>
      </c>
      <c r="J161" s="1">
        <v>72</v>
      </c>
      <c r="K161" s="1">
        <v>74.5</v>
      </c>
      <c r="L161" s="1">
        <f t="shared" si="27"/>
        <v>2.5</v>
      </c>
      <c r="M161" s="1">
        <f t="shared" si="28"/>
        <v>1065.2</v>
      </c>
      <c r="N161" s="1"/>
      <c r="O161" s="4"/>
    </row>
    <row r="162" spans="1:17" ht="15.75" customHeight="1" x14ac:dyDescent="0.25">
      <c r="A162" s="1" t="s">
        <v>476</v>
      </c>
      <c r="B162" s="1"/>
      <c r="C162" s="1">
        <v>5000241438</v>
      </c>
      <c r="D162" s="1">
        <v>105</v>
      </c>
      <c r="E162" s="1" t="s">
        <v>91</v>
      </c>
      <c r="F162" s="1" t="s">
        <v>485</v>
      </c>
      <c r="G162" s="1">
        <v>606.98</v>
      </c>
      <c r="H162" s="1"/>
      <c r="I162" s="1" t="s">
        <v>23</v>
      </c>
      <c r="J162" s="1">
        <v>72</v>
      </c>
      <c r="K162" s="1">
        <v>74.5</v>
      </c>
      <c r="L162" s="1">
        <f t="shared" si="27"/>
        <v>2.5</v>
      </c>
      <c r="M162" s="1">
        <f t="shared" si="28"/>
        <v>1517.45</v>
      </c>
      <c r="N162" s="1"/>
      <c r="O162" s="4"/>
    </row>
    <row r="163" spans="1:17" ht="15.75" customHeight="1" x14ac:dyDescent="0.25">
      <c r="A163" s="1" t="s">
        <v>451</v>
      </c>
      <c r="B163" s="1"/>
      <c r="C163" s="1">
        <v>5000240455</v>
      </c>
      <c r="D163" s="1">
        <v>105</v>
      </c>
      <c r="E163" s="1" t="s">
        <v>91</v>
      </c>
      <c r="F163" s="1" t="s">
        <v>494</v>
      </c>
      <c r="G163" s="1">
        <v>303.92</v>
      </c>
      <c r="H163" s="1"/>
      <c r="I163" s="1" t="s">
        <v>23</v>
      </c>
      <c r="J163" s="1">
        <v>72</v>
      </c>
      <c r="K163" s="1">
        <v>74.5</v>
      </c>
      <c r="L163" s="1">
        <f t="shared" si="27"/>
        <v>2.5</v>
      </c>
      <c r="M163" s="1">
        <f t="shared" si="28"/>
        <v>759.80000000000007</v>
      </c>
      <c r="N163" s="1"/>
      <c r="O163" s="4"/>
    </row>
    <row r="164" spans="1:17" ht="15.75" customHeight="1" x14ac:dyDescent="0.25">
      <c r="A164" s="1" t="s">
        <v>451</v>
      </c>
      <c r="B164" s="1"/>
      <c r="C164" s="1">
        <v>5000240455</v>
      </c>
      <c r="D164" s="1">
        <v>105</v>
      </c>
      <c r="E164" s="1" t="s">
        <v>91</v>
      </c>
      <c r="F164" s="1" t="s">
        <v>494</v>
      </c>
      <c r="G164" s="1">
        <v>510</v>
      </c>
      <c r="H164" s="1"/>
      <c r="I164" s="1" t="s">
        <v>23</v>
      </c>
      <c r="J164" s="1">
        <v>72</v>
      </c>
      <c r="K164" s="1">
        <v>74.5</v>
      </c>
      <c r="L164" s="1">
        <f t="shared" si="27"/>
        <v>2.5</v>
      </c>
      <c r="M164" s="1">
        <f t="shared" si="28"/>
        <v>1275</v>
      </c>
      <c r="N164" s="1"/>
      <c r="O164" s="4"/>
    </row>
    <row r="165" spans="1:17" ht="15.75" customHeight="1" x14ac:dyDescent="0.25">
      <c r="A165" s="1" t="s">
        <v>451</v>
      </c>
      <c r="B165" s="1"/>
      <c r="C165" s="1">
        <v>5000240455</v>
      </c>
      <c r="D165" s="1">
        <v>105</v>
      </c>
      <c r="E165" s="1" t="s">
        <v>91</v>
      </c>
      <c r="F165" s="1" t="s">
        <v>494</v>
      </c>
      <c r="G165" s="2">
        <v>1310</v>
      </c>
      <c r="H165" s="2"/>
      <c r="I165" s="1" t="s">
        <v>23</v>
      </c>
      <c r="J165" s="1">
        <v>72</v>
      </c>
      <c r="K165" s="1">
        <v>74.5</v>
      </c>
      <c r="L165" s="1">
        <f t="shared" si="27"/>
        <v>2.5</v>
      </c>
      <c r="M165" s="1">
        <f t="shared" si="28"/>
        <v>3275</v>
      </c>
      <c r="N165" s="1"/>
      <c r="O165" s="4"/>
    </row>
    <row r="166" spans="1:17" ht="15.75" customHeight="1" x14ac:dyDescent="0.25">
      <c r="A166" s="1" t="s">
        <v>452</v>
      </c>
      <c r="B166" s="1"/>
      <c r="C166" s="1">
        <v>5000240458</v>
      </c>
      <c r="D166" s="1">
        <v>105</v>
      </c>
      <c r="E166" s="1" t="s">
        <v>91</v>
      </c>
      <c r="F166" s="1" t="s">
        <v>383</v>
      </c>
      <c r="G166" s="1">
        <v>314.25</v>
      </c>
      <c r="H166" s="1"/>
      <c r="I166" s="1" t="s">
        <v>23</v>
      </c>
      <c r="J166" s="1">
        <v>72</v>
      </c>
      <c r="K166" s="1">
        <v>74.5</v>
      </c>
      <c r="L166" s="1">
        <f t="shared" si="27"/>
        <v>2.5</v>
      </c>
      <c r="M166" s="1">
        <f t="shared" si="28"/>
        <v>785.625</v>
      </c>
      <c r="N166" s="1"/>
      <c r="O166" s="4"/>
    </row>
    <row r="167" spans="1:17" ht="15.75" customHeight="1" x14ac:dyDescent="0.25">
      <c r="A167" s="1" t="s">
        <v>452</v>
      </c>
      <c r="B167" s="1"/>
      <c r="C167" s="1">
        <v>5000240458</v>
      </c>
      <c r="D167" s="1">
        <v>105</v>
      </c>
      <c r="E167" s="1" t="s">
        <v>91</v>
      </c>
      <c r="F167" s="1" t="s">
        <v>383</v>
      </c>
      <c r="G167" s="1">
        <v>727.07</v>
      </c>
      <c r="H167" s="1"/>
      <c r="I167" s="1" t="s">
        <v>23</v>
      </c>
      <c r="J167" s="1">
        <v>72</v>
      </c>
      <c r="K167" s="1">
        <v>74.5</v>
      </c>
      <c r="L167" s="1">
        <f t="shared" si="27"/>
        <v>2.5</v>
      </c>
      <c r="M167" s="1">
        <f t="shared" si="28"/>
        <v>1817.6750000000002</v>
      </c>
      <c r="N167" s="1"/>
      <c r="O167" s="4"/>
    </row>
    <row r="168" spans="1:17" ht="15.75" customHeight="1" x14ac:dyDescent="0.25">
      <c r="A168" s="1" t="s">
        <v>472</v>
      </c>
      <c r="B168" s="1"/>
      <c r="C168" s="1">
        <v>5000239143</v>
      </c>
      <c r="D168" s="1">
        <v>105</v>
      </c>
      <c r="E168" s="1" t="s">
        <v>90</v>
      </c>
      <c r="F168" s="1" t="s">
        <v>498</v>
      </c>
      <c r="G168" s="1">
        <v>510</v>
      </c>
      <c r="H168" s="1"/>
      <c r="I168" s="1" t="s">
        <v>23</v>
      </c>
      <c r="J168" s="1">
        <v>72</v>
      </c>
      <c r="K168" s="1">
        <v>74.5</v>
      </c>
      <c r="L168" s="1">
        <f t="shared" si="27"/>
        <v>2.5</v>
      </c>
      <c r="M168" s="1">
        <f t="shared" si="28"/>
        <v>1275</v>
      </c>
      <c r="N168" s="1"/>
      <c r="O168" s="4"/>
    </row>
    <row r="169" spans="1:17" ht="15.75" customHeight="1" x14ac:dyDescent="0.25">
      <c r="A169" s="1" t="s">
        <v>472</v>
      </c>
      <c r="B169" s="1"/>
      <c r="C169" s="1">
        <v>5000239143</v>
      </c>
      <c r="D169" s="1">
        <v>105</v>
      </c>
      <c r="E169" s="1" t="s">
        <v>90</v>
      </c>
      <c r="F169" s="1" t="s">
        <v>498</v>
      </c>
      <c r="G169" s="1">
        <v>568.05999999999995</v>
      </c>
      <c r="H169" s="1"/>
      <c r="I169" s="1" t="s">
        <v>23</v>
      </c>
      <c r="J169" s="1">
        <v>72</v>
      </c>
      <c r="K169" s="1">
        <v>74.5</v>
      </c>
      <c r="L169" s="1">
        <f t="shared" si="27"/>
        <v>2.5</v>
      </c>
      <c r="M169" s="1">
        <f t="shared" si="28"/>
        <v>1420.1499999999999</v>
      </c>
      <c r="N169" s="1"/>
      <c r="O169" s="4"/>
    </row>
    <row r="170" spans="1:17" ht="15.75" customHeight="1" x14ac:dyDescent="0.25">
      <c r="A170" s="1"/>
      <c r="B170" s="1"/>
      <c r="C170" s="1"/>
      <c r="D170" s="1"/>
      <c r="E170" s="1"/>
      <c r="F170" s="1"/>
      <c r="G170" s="3">
        <f>SUM(G132:G169)</f>
        <v>23544.94</v>
      </c>
      <c r="H170" s="3"/>
      <c r="I170" s="1"/>
      <c r="J170" s="1"/>
      <c r="K170" s="1"/>
      <c r="L170" s="5" t="s">
        <v>499</v>
      </c>
      <c r="M170" s="5">
        <f>SUM(M132:M169)</f>
        <v>59632.800999999949</v>
      </c>
      <c r="N170" s="1"/>
      <c r="O170" s="1"/>
      <c r="Q170" s="8"/>
    </row>
    <row r="172" spans="1:17" x14ac:dyDescent="0.25">
      <c r="J172" t="s">
        <v>500</v>
      </c>
      <c r="K172">
        <f>M170+Q170</f>
        <v>59632.800999999949</v>
      </c>
    </row>
    <row r="174" spans="1:17" x14ac:dyDescent="0.25">
      <c r="A174" t="s">
        <v>410</v>
      </c>
    </row>
    <row r="175" spans="1:17" x14ac:dyDescent="0.25">
      <c r="A175" s="1" t="s">
        <v>390</v>
      </c>
      <c r="B175" s="1"/>
      <c r="C175" s="1" t="s">
        <v>208</v>
      </c>
      <c r="D175" s="1" t="s">
        <v>168</v>
      </c>
      <c r="E175" s="1" t="s">
        <v>169</v>
      </c>
      <c r="F175" s="1" t="s">
        <v>22</v>
      </c>
      <c r="G175" s="1"/>
      <c r="H175" s="1"/>
      <c r="I175" s="1" t="s">
        <v>209</v>
      </c>
      <c r="J175" s="1" t="s">
        <v>210</v>
      </c>
      <c r="K175" s="1" t="s">
        <v>52</v>
      </c>
      <c r="L175" s="1" t="s">
        <v>21</v>
      </c>
      <c r="M175" s="113"/>
    </row>
    <row r="176" spans="1:17" x14ac:dyDescent="0.25">
      <c r="A176" s="1" t="s">
        <v>452</v>
      </c>
      <c r="B176" s="1"/>
      <c r="C176" s="1">
        <v>5000240030</v>
      </c>
      <c r="D176" s="1">
        <v>105</v>
      </c>
      <c r="E176" s="1" t="s">
        <v>501</v>
      </c>
      <c r="F176" s="2">
        <v>10000</v>
      </c>
      <c r="G176" s="2"/>
      <c r="H176" s="2"/>
      <c r="I176" s="1">
        <v>1090</v>
      </c>
      <c r="J176" s="1">
        <f>1200+200</f>
        <v>1400</v>
      </c>
      <c r="K176" s="1">
        <f>J176-I176</f>
        <v>310</v>
      </c>
      <c r="L176" s="1">
        <f>K176*F176/1000</f>
        <v>3100</v>
      </c>
      <c r="M176" s="8"/>
    </row>
    <row r="177" spans="1:16" x14ac:dyDescent="0.25">
      <c r="A177" s="1" t="s">
        <v>452</v>
      </c>
      <c r="B177" s="1"/>
      <c r="C177" s="1">
        <v>5000240030</v>
      </c>
      <c r="D177" s="1">
        <v>105</v>
      </c>
      <c r="E177" s="1" t="s">
        <v>502</v>
      </c>
      <c r="F177" s="2">
        <v>10000</v>
      </c>
      <c r="G177" s="2"/>
      <c r="H177" s="2"/>
      <c r="I177" s="1">
        <v>1310</v>
      </c>
      <c r="J177" s="1">
        <f>1600+285</f>
        <v>1885</v>
      </c>
      <c r="K177" s="1">
        <f>J177-I177</f>
        <v>575</v>
      </c>
      <c r="L177" s="1">
        <f>K177*F177/1000</f>
        <v>5750</v>
      </c>
      <c r="M177" s="8"/>
    </row>
    <row r="178" spans="1:16" x14ac:dyDescent="0.25">
      <c r="A178" s="1" t="s">
        <v>452</v>
      </c>
      <c r="B178" s="1"/>
      <c r="C178" s="1">
        <v>5000240031</v>
      </c>
      <c r="D178" s="1">
        <v>105</v>
      </c>
      <c r="E178" s="1" t="s">
        <v>502</v>
      </c>
      <c r="F178" s="2">
        <v>10000</v>
      </c>
      <c r="G178" s="2"/>
      <c r="H178" s="2"/>
      <c r="I178" s="1">
        <v>1310</v>
      </c>
      <c r="J178" s="1">
        <f>1600+285</f>
        <v>1885</v>
      </c>
      <c r="K178" s="1">
        <f>J178-I178</f>
        <v>575</v>
      </c>
      <c r="L178" s="1">
        <f>K178*F178/1000</f>
        <v>5750</v>
      </c>
      <c r="M178" s="8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8"/>
    </row>
    <row r="180" spans="1:16" x14ac:dyDescent="0.25">
      <c r="A180" s="1"/>
      <c r="B180" s="1"/>
      <c r="C180" s="1"/>
      <c r="D180" s="1"/>
      <c r="E180" s="1"/>
      <c r="F180" s="2">
        <f>SUM(F176:F179)</f>
        <v>30000</v>
      </c>
      <c r="G180" s="1"/>
      <c r="H180" s="1"/>
      <c r="I180" s="1"/>
      <c r="J180" s="1"/>
      <c r="K180" s="5" t="s">
        <v>21</v>
      </c>
      <c r="L180" s="5">
        <f>SUM(L176:L178)</f>
        <v>14600</v>
      </c>
      <c r="M180" s="8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8"/>
    </row>
    <row r="185" spans="1:16" x14ac:dyDescent="0.25">
      <c r="A185" s="1" t="s">
        <v>390</v>
      </c>
      <c r="B185" s="1"/>
      <c r="C185" s="1" t="s">
        <v>208</v>
      </c>
      <c r="D185" s="1" t="s">
        <v>168</v>
      </c>
      <c r="E185" s="1" t="s">
        <v>169</v>
      </c>
      <c r="F185" s="1" t="s">
        <v>22</v>
      </c>
      <c r="G185" s="1"/>
      <c r="H185" s="1"/>
      <c r="I185" s="1" t="s">
        <v>209</v>
      </c>
      <c r="J185" s="1" t="s">
        <v>210</v>
      </c>
      <c r="K185" s="1" t="s">
        <v>52</v>
      </c>
      <c r="L185" s="1" t="s">
        <v>21</v>
      </c>
    </row>
    <row r="186" spans="1:16" x14ac:dyDescent="0.25">
      <c r="A186" s="1" t="s">
        <v>470</v>
      </c>
      <c r="B186" s="1"/>
      <c r="C186" s="1">
        <v>5000242440</v>
      </c>
      <c r="D186" s="1">
        <v>105</v>
      </c>
      <c r="E186" s="1" t="s">
        <v>350</v>
      </c>
      <c r="F186" s="2">
        <v>51000</v>
      </c>
      <c r="G186" s="1"/>
      <c r="H186" s="1"/>
      <c r="I186" s="1">
        <v>270</v>
      </c>
      <c r="J186" s="1">
        <v>340</v>
      </c>
      <c r="K186" s="1">
        <f>J186-I186</f>
        <v>70</v>
      </c>
      <c r="L186" s="1">
        <f>K186*F186/1000</f>
        <v>3570</v>
      </c>
      <c r="O186" s="14"/>
      <c r="P186" s="20"/>
    </row>
    <row r="187" spans="1:16" x14ac:dyDescent="0.25">
      <c r="A187" s="1" t="s">
        <v>490</v>
      </c>
      <c r="B187" s="1"/>
      <c r="C187" s="1">
        <v>5000241121</v>
      </c>
      <c r="D187" s="1">
        <v>105</v>
      </c>
      <c r="E187" s="1" t="s">
        <v>362</v>
      </c>
      <c r="F187" s="2">
        <v>42000</v>
      </c>
      <c r="G187" s="1"/>
      <c r="H187" s="1"/>
      <c r="I187" s="1">
        <v>600</v>
      </c>
      <c r="J187" s="1">
        <v>680</v>
      </c>
      <c r="K187" s="1">
        <f>J187-I187</f>
        <v>80</v>
      </c>
      <c r="L187" s="1">
        <f>K187*F187/1000</f>
        <v>3360</v>
      </c>
      <c r="O187" s="14"/>
      <c r="P187" s="20"/>
    </row>
    <row r="188" spans="1:16" x14ac:dyDescent="0.25">
      <c r="A188" s="1" t="s">
        <v>490</v>
      </c>
      <c r="B188" s="1"/>
      <c r="C188" s="1">
        <v>5000241122</v>
      </c>
      <c r="D188" s="1">
        <v>105</v>
      </c>
      <c r="E188" s="1" t="s">
        <v>362</v>
      </c>
      <c r="F188" s="2">
        <v>24000</v>
      </c>
      <c r="G188" s="1"/>
      <c r="H188" s="1"/>
      <c r="I188" s="1">
        <v>600</v>
      </c>
      <c r="J188" s="1">
        <v>680</v>
      </c>
      <c r="K188" s="1">
        <f t="shared" ref="K188:K194" si="29">J188-I188</f>
        <v>80</v>
      </c>
      <c r="L188" s="1">
        <f t="shared" ref="L188:L194" si="30">K188*F188/1000</f>
        <v>1920</v>
      </c>
      <c r="O188" s="14"/>
      <c r="P188" s="20"/>
    </row>
    <row r="189" spans="1:16" x14ac:dyDescent="0.25">
      <c r="A189" s="1" t="s">
        <v>452</v>
      </c>
      <c r="B189" s="1"/>
      <c r="C189" s="1">
        <v>5000240083</v>
      </c>
      <c r="D189" s="1">
        <v>105</v>
      </c>
      <c r="E189" s="1" t="s">
        <v>362</v>
      </c>
      <c r="F189" s="2">
        <v>35200</v>
      </c>
      <c r="G189" s="1"/>
      <c r="H189" s="1"/>
      <c r="I189" s="1">
        <v>600</v>
      </c>
      <c r="J189" s="1">
        <v>680</v>
      </c>
      <c r="K189" s="1">
        <f t="shared" si="29"/>
        <v>80</v>
      </c>
      <c r="L189" s="1">
        <f t="shared" si="30"/>
        <v>2816</v>
      </c>
      <c r="O189" s="14"/>
      <c r="P189" s="20"/>
    </row>
    <row r="190" spans="1:16" x14ac:dyDescent="0.25">
      <c r="A190" s="1" t="s">
        <v>454</v>
      </c>
      <c r="B190" s="1"/>
      <c r="C190" s="1">
        <v>5000243837</v>
      </c>
      <c r="D190" s="1">
        <v>105</v>
      </c>
      <c r="E190" s="1" t="s">
        <v>333</v>
      </c>
      <c r="F190" s="2">
        <v>40500</v>
      </c>
      <c r="G190" s="1"/>
      <c r="H190" s="1"/>
      <c r="I190" s="1">
        <v>370</v>
      </c>
      <c r="J190" s="1">
        <v>460</v>
      </c>
      <c r="K190" s="1">
        <f t="shared" si="29"/>
        <v>90</v>
      </c>
      <c r="L190" s="1">
        <f t="shared" si="30"/>
        <v>3645</v>
      </c>
      <c r="O190" s="14"/>
      <c r="P190" s="20"/>
    </row>
    <row r="191" spans="1:16" x14ac:dyDescent="0.25">
      <c r="A191" s="1" t="s">
        <v>490</v>
      </c>
      <c r="B191" s="1"/>
      <c r="C191" s="1">
        <v>5000241121</v>
      </c>
      <c r="D191" s="1">
        <v>105</v>
      </c>
      <c r="E191" s="1" t="s">
        <v>333</v>
      </c>
      <c r="F191" s="2">
        <v>38000</v>
      </c>
      <c r="G191" s="1"/>
      <c r="H191" s="1"/>
      <c r="I191" s="1">
        <v>370</v>
      </c>
      <c r="J191" s="1">
        <v>460</v>
      </c>
      <c r="K191" s="1">
        <f t="shared" si="29"/>
        <v>90</v>
      </c>
      <c r="L191" s="1">
        <f t="shared" si="30"/>
        <v>3420</v>
      </c>
      <c r="O191" s="14"/>
      <c r="P191" s="20"/>
    </row>
    <row r="192" spans="1:16" x14ac:dyDescent="0.25">
      <c r="A192" s="1" t="s">
        <v>490</v>
      </c>
      <c r="B192" s="1"/>
      <c r="C192" s="1">
        <v>5000241121</v>
      </c>
      <c r="D192" s="1">
        <v>105</v>
      </c>
      <c r="E192" s="1" t="s">
        <v>333</v>
      </c>
      <c r="F192" s="2">
        <v>129000</v>
      </c>
      <c r="G192" s="1"/>
      <c r="H192" s="1"/>
      <c r="I192" s="1">
        <v>370</v>
      </c>
      <c r="J192" s="1">
        <v>460</v>
      </c>
      <c r="K192" s="1">
        <f t="shared" si="29"/>
        <v>90</v>
      </c>
      <c r="L192" s="1">
        <f t="shared" si="30"/>
        <v>11610</v>
      </c>
      <c r="O192" s="14"/>
      <c r="P192" s="20"/>
    </row>
    <row r="193" spans="1:16" x14ac:dyDescent="0.25">
      <c r="A193" s="1" t="s">
        <v>490</v>
      </c>
      <c r="B193" s="1"/>
      <c r="C193" s="1">
        <v>5000241122</v>
      </c>
      <c r="D193" s="1">
        <v>105</v>
      </c>
      <c r="E193" s="1" t="s">
        <v>333</v>
      </c>
      <c r="F193" s="2">
        <v>1500</v>
      </c>
      <c r="G193" s="1"/>
      <c r="H193" s="1"/>
      <c r="I193" s="1">
        <v>370</v>
      </c>
      <c r="J193" s="1">
        <v>460</v>
      </c>
      <c r="K193" s="1">
        <f t="shared" si="29"/>
        <v>90</v>
      </c>
      <c r="L193" s="1">
        <f t="shared" si="30"/>
        <v>135</v>
      </c>
      <c r="O193" s="14"/>
    </row>
    <row r="194" spans="1:16" x14ac:dyDescent="0.25">
      <c r="A194" s="1" t="s">
        <v>496</v>
      </c>
      <c r="B194" s="1"/>
      <c r="C194" s="1">
        <v>5000243685</v>
      </c>
      <c r="D194" s="1">
        <v>105</v>
      </c>
      <c r="E194" s="1" t="s">
        <v>503</v>
      </c>
      <c r="F194" s="2">
        <v>26000</v>
      </c>
      <c r="G194" s="1"/>
      <c r="H194" s="1"/>
      <c r="I194" s="1">
        <v>570</v>
      </c>
      <c r="J194" s="1">
        <v>660</v>
      </c>
      <c r="K194" s="1">
        <f t="shared" si="29"/>
        <v>90</v>
      </c>
      <c r="L194" s="1">
        <f t="shared" si="30"/>
        <v>2340</v>
      </c>
      <c r="O194" s="14"/>
      <c r="P194" s="20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6" x14ac:dyDescent="0.25">
      <c r="A196" s="1"/>
      <c r="B196" s="1"/>
      <c r="C196" s="1"/>
      <c r="D196" s="1"/>
      <c r="E196" s="1"/>
      <c r="F196" s="2">
        <f>SUM(F186:F195)</f>
        <v>387200</v>
      </c>
      <c r="G196" s="1"/>
      <c r="H196" s="1"/>
      <c r="I196" s="1"/>
      <c r="J196" s="1"/>
      <c r="K196" s="5" t="s">
        <v>58</v>
      </c>
      <c r="L196" s="5">
        <f>SUM(L186:L194)</f>
        <v>32816</v>
      </c>
    </row>
    <row r="197" spans="1:16" x14ac:dyDescent="0.25">
      <c r="K197" s="6"/>
      <c r="L197" s="6"/>
    </row>
    <row r="198" spans="1:16" x14ac:dyDescent="0.25">
      <c r="A198" s="1" t="s">
        <v>390</v>
      </c>
      <c r="B198" s="1"/>
      <c r="C198" s="1" t="s">
        <v>208</v>
      </c>
      <c r="D198" s="1" t="s">
        <v>168</v>
      </c>
      <c r="E198" s="1" t="s">
        <v>169</v>
      </c>
      <c r="F198" s="1" t="s">
        <v>22</v>
      </c>
      <c r="G198" s="1"/>
      <c r="H198" s="1"/>
      <c r="I198" s="1" t="s">
        <v>209</v>
      </c>
      <c r="J198" s="1" t="s">
        <v>210</v>
      </c>
      <c r="K198" s="1" t="s">
        <v>52</v>
      </c>
      <c r="L198" s="1" t="s">
        <v>21</v>
      </c>
    </row>
    <row r="199" spans="1:16" x14ac:dyDescent="0.25">
      <c r="A199" s="1" t="s">
        <v>486</v>
      </c>
      <c r="B199" s="1"/>
      <c r="C199" s="1">
        <v>5000243033</v>
      </c>
      <c r="D199" s="1">
        <v>105</v>
      </c>
      <c r="E199" s="1" t="s">
        <v>211</v>
      </c>
      <c r="F199" s="1">
        <v>444</v>
      </c>
      <c r="G199" s="1" t="s">
        <v>392</v>
      </c>
      <c r="H199" s="1"/>
      <c r="I199" s="1">
        <v>127</v>
      </c>
      <c r="J199" s="1">
        <v>133.80000000000001</v>
      </c>
      <c r="K199" s="1">
        <f>J199-I199</f>
        <v>6.8000000000000114</v>
      </c>
      <c r="L199" s="1">
        <f>K199*F199</f>
        <v>3019.2000000000053</v>
      </c>
    </row>
    <row r="200" spans="1:16" x14ac:dyDescent="0.25">
      <c r="A200" s="1" t="s">
        <v>486</v>
      </c>
      <c r="B200" s="1"/>
      <c r="C200" s="1">
        <v>5000243033</v>
      </c>
      <c r="D200" s="1">
        <v>105</v>
      </c>
      <c r="E200" s="1" t="s">
        <v>211</v>
      </c>
      <c r="F200" s="1">
        <v>500</v>
      </c>
      <c r="G200" s="1" t="s">
        <v>392</v>
      </c>
      <c r="H200" s="1"/>
      <c r="I200" s="1">
        <v>127</v>
      </c>
      <c r="J200" s="1">
        <v>133.80000000000001</v>
      </c>
      <c r="K200" s="1">
        <f t="shared" ref="K200:K207" si="31">J200-I200</f>
        <v>6.8000000000000114</v>
      </c>
      <c r="L200" s="1">
        <f t="shared" ref="L200:L207" si="32">K200*F200</f>
        <v>3400.0000000000055</v>
      </c>
    </row>
    <row r="201" spans="1:16" x14ac:dyDescent="0.25">
      <c r="A201" s="1" t="s">
        <v>486</v>
      </c>
      <c r="B201" s="1"/>
      <c r="C201" s="1">
        <v>5000243033</v>
      </c>
      <c r="D201" s="1">
        <v>105</v>
      </c>
      <c r="E201" s="1" t="s">
        <v>211</v>
      </c>
      <c r="F201" s="1">
        <v>129</v>
      </c>
      <c r="G201" s="1" t="s">
        <v>392</v>
      </c>
      <c r="H201" s="1"/>
      <c r="I201" s="1">
        <v>127</v>
      </c>
      <c r="J201" s="1">
        <v>133.80000000000001</v>
      </c>
      <c r="K201" s="1">
        <f t="shared" si="31"/>
        <v>6.8000000000000114</v>
      </c>
      <c r="L201" s="1">
        <f t="shared" si="32"/>
        <v>877.20000000000141</v>
      </c>
    </row>
    <row r="202" spans="1:16" x14ac:dyDescent="0.25">
      <c r="A202" s="1" t="s">
        <v>477</v>
      </c>
      <c r="B202" s="1"/>
      <c r="C202" s="1">
        <v>5000241738</v>
      </c>
      <c r="D202" s="1">
        <v>105</v>
      </c>
      <c r="E202" s="1" t="s">
        <v>211</v>
      </c>
      <c r="F202" s="1">
        <v>501.5</v>
      </c>
      <c r="G202" s="1" t="s">
        <v>392</v>
      </c>
      <c r="H202" s="1"/>
      <c r="I202" s="1">
        <v>127</v>
      </c>
      <c r="J202" s="1">
        <v>133.80000000000001</v>
      </c>
      <c r="K202" s="1">
        <f t="shared" si="31"/>
        <v>6.8000000000000114</v>
      </c>
      <c r="L202" s="1">
        <f t="shared" si="32"/>
        <v>3410.2000000000057</v>
      </c>
    </row>
    <row r="203" spans="1:16" x14ac:dyDescent="0.25">
      <c r="A203" s="1" t="s">
        <v>509</v>
      </c>
      <c r="B203" s="1"/>
      <c r="C203" s="1">
        <v>5000238105</v>
      </c>
      <c r="D203" s="1">
        <v>105</v>
      </c>
      <c r="E203" s="1" t="s">
        <v>211</v>
      </c>
      <c r="F203" s="1">
        <v>510</v>
      </c>
      <c r="G203" s="1" t="s">
        <v>392</v>
      </c>
      <c r="H203" s="1"/>
      <c r="I203" s="1">
        <v>127</v>
      </c>
      <c r="J203" s="1">
        <v>133.80000000000001</v>
      </c>
      <c r="K203" s="1">
        <f t="shared" si="31"/>
        <v>6.8000000000000114</v>
      </c>
      <c r="L203" s="1">
        <f t="shared" si="32"/>
        <v>3468.0000000000059</v>
      </c>
    </row>
    <row r="204" spans="1:16" x14ac:dyDescent="0.25">
      <c r="A204" s="1" t="s">
        <v>509</v>
      </c>
      <c r="B204" s="1"/>
      <c r="C204" s="1">
        <v>5000238105</v>
      </c>
      <c r="D204" s="1">
        <v>105</v>
      </c>
      <c r="E204" s="1" t="s">
        <v>211</v>
      </c>
      <c r="F204" s="1">
        <v>56</v>
      </c>
      <c r="G204" s="1" t="s">
        <v>392</v>
      </c>
      <c r="H204" s="1"/>
      <c r="I204" s="1">
        <v>127</v>
      </c>
      <c r="J204" s="1">
        <v>133.80000000000001</v>
      </c>
      <c r="K204" s="1">
        <f t="shared" si="31"/>
        <v>6.8000000000000114</v>
      </c>
      <c r="L204" s="1">
        <f t="shared" si="32"/>
        <v>380.80000000000064</v>
      </c>
    </row>
    <row r="205" spans="1:16" x14ac:dyDescent="0.25">
      <c r="A205" s="1" t="s">
        <v>477</v>
      </c>
      <c r="B205" s="1"/>
      <c r="C205" s="1">
        <v>5000241739</v>
      </c>
      <c r="D205" s="1">
        <v>105</v>
      </c>
      <c r="E205" s="1" t="s">
        <v>212</v>
      </c>
      <c r="F205" s="1">
        <v>98.4</v>
      </c>
      <c r="G205" s="1" t="s">
        <v>392</v>
      </c>
      <c r="H205" s="1"/>
      <c r="I205" s="1">
        <v>138.5</v>
      </c>
      <c r="J205" s="1">
        <v>144.06</v>
      </c>
      <c r="K205" s="1">
        <f t="shared" si="31"/>
        <v>5.5600000000000023</v>
      </c>
      <c r="L205" s="1">
        <f t="shared" si="32"/>
        <v>547.10400000000027</v>
      </c>
    </row>
    <row r="206" spans="1:16" x14ac:dyDescent="0.25">
      <c r="A206" s="1" t="s">
        <v>477</v>
      </c>
      <c r="B206" s="1"/>
      <c r="C206" s="1">
        <v>5000241750</v>
      </c>
      <c r="D206" s="1">
        <v>105</v>
      </c>
      <c r="E206" s="1" t="s">
        <v>212</v>
      </c>
      <c r="F206" s="1">
        <v>106.3</v>
      </c>
      <c r="G206" s="1" t="s">
        <v>392</v>
      </c>
      <c r="H206" s="1"/>
      <c r="I206" s="1">
        <v>138.5</v>
      </c>
      <c r="J206" s="1">
        <v>144.06</v>
      </c>
      <c r="K206" s="1">
        <f t="shared" si="31"/>
        <v>5.5600000000000023</v>
      </c>
      <c r="L206" s="1">
        <f t="shared" si="32"/>
        <v>591.02800000000025</v>
      </c>
    </row>
    <row r="207" spans="1:16" x14ac:dyDescent="0.25">
      <c r="A207" s="1" t="s">
        <v>477</v>
      </c>
      <c r="B207" s="1"/>
      <c r="C207" s="1">
        <v>5000241750</v>
      </c>
      <c r="D207" s="1">
        <v>105</v>
      </c>
      <c r="E207" s="1" t="s">
        <v>212</v>
      </c>
      <c r="F207" s="1">
        <v>411</v>
      </c>
      <c r="G207" s="1" t="s">
        <v>392</v>
      </c>
      <c r="H207" s="1"/>
      <c r="I207" s="1">
        <v>138.5</v>
      </c>
      <c r="J207" s="1">
        <v>144.06</v>
      </c>
      <c r="K207" s="1">
        <f t="shared" si="31"/>
        <v>5.5600000000000023</v>
      </c>
      <c r="L207" s="1">
        <f t="shared" si="32"/>
        <v>2285.1600000000008</v>
      </c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6" x14ac:dyDescent="0.25">
      <c r="A209" s="1"/>
      <c r="B209" s="1"/>
      <c r="C209" s="1"/>
      <c r="D209" s="1"/>
      <c r="E209" s="1"/>
      <c r="F209" s="1">
        <f>SUM(F199:F208)</f>
        <v>2756.2000000000003</v>
      </c>
      <c r="G209" s="1"/>
      <c r="H209" s="1"/>
      <c r="I209" s="1"/>
      <c r="J209" s="1"/>
      <c r="K209" s="5" t="s">
        <v>213</v>
      </c>
      <c r="L209" s="5">
        <f>SUM(L199:L207)</f>
        <v>17978.692000000028</v>
      </c>
    </row>
    <row r="212" spans="1:16" x14ac:dyDescent="0.25">
      <c r="A212" s="1" t="s">
        <v>519</v>
      </c>
      <c r="B212" s="1"/>
      <c r="C212" s="1" t="s">
        <v>208</v>
      </c>
      <c r="D212" s="1" t="s">
        <v>168</v>
      </c>
      <c r="E212" s="1" t="s">
        <v>169</v>
      </c>
      <c r="F212" s="1" t="s">
        <v>22</v>
      </c>
      <c r="G212" s="4" t="s">
        <v>24</v>
      </c>
      <c r="H212" s="4"/>
      <c r="I212" s="1" t="s">
        <v>512</v>
      </c>
      <c r="J212" s="1" t="s">
        <v>513</v>
      </c>
      <c r="K212" s="1" t="s">
        <v>514</v>
      </c>
      <c r="L212" s="1" t="s">
        <v>515</v>
      </c>
      <c r="M212" s="1" t="s">
        <v>516</v>
      </c>
      <c r="N212" s="1" t="s">
        <v>517</v>
      </c>
      <c r="O212" s="1" t="s">
        <v>518</v>
      </c>
      <c r="P212" s="1" t="s">
        <v>504</v>
      </c>
    </row>
    <row r="213" spans="1:16" x14ac:dyDescent="0.25">
      <c r="A213" s="1" t="s">
        <v>479</v>
      </c>
      <c r="B213" s="1"/>
      <c r="C213" s="1">
        <v>5000238584</v>
      </c>
      <c r="D213" s="1">
        <v>105</v>
      </c>
      <c r="E213" s="1" t="s">
        <v>510</v>
      </c>
      <c r="F213" s="1">
        <v>501.6</v>
      </c>
      <c r="G213" s="1" t="s">
        <v>23</v>
      </c>
      <c r="H213" s="1"/>
      <c r="I213" s="1">
        <v>8.1999999999999993</v>
      </c>
      <c r="J213" s="1">
        <v>6.6</v>
      </c>
      <c r="K213" s="1">
        <f>F213/I213</f>
        <v>61.170731707317081</v>
      </c>
      <c r="L213" s="1">
        <f>F213/J213</f>
        <v>76.000000000000014</v>
      </c>
      <c r="M213" s="1">
        <f>L213-K213</f>
        <v>14.829268292682933</v>
      </c>
      <c r="N213" s="1">
        <f>M213*I213</f>
        <v>121.60000000000004</v>
      </c>
      <c r="O213" s="1">
        <v>171</v>
      </c>
      <c r="P213" s="127">
        <f>O213*N213</f>
        <v>20793.600000000006</v>
      </c>
    </row>
    <row r="214" spans="1:16" x14ac:dyDescent="0.25">
      <c r="A214" s="1" t="s">
        <v>479</v>
      </c>
      <c r="B214" s="1"/>
      <c r="C214" s="1">
        <v>5000238582</v>
      </c>
      <c r="D214" s="1">
        <v>105</v>
      </c>
      <c r="E214" s="1" t="s">
        <v>511</v>
      </c>
      <c r="F214" s="1">
        <v>148</v>
      </c>
      <c r="G214" s="1" t="s">
        <v>23</v>
      </c>
      <c r="H214" s="1"/>
      <c r="I214" s="1">
        <v>7</v>
      </c>
      <c r="J214" s="1">
        <v>5.6</v>
      </c>
      <c r="K214" s="1">
        <f t="shared" ref="K214:K215" si="33">F214/I214</f>
        <v>21.142857142857142</v>
      </c>
      <c r="L214" s="1">
        <f t="shared" ref="L214:L215" si="34">F214/J214</f>
        <v>26.428571428571431</v>
      </c>
      <c r="M214" s="1">
        <f t="shared" ref="M214:M215" si="35">L214-K214</f>
        <v>5.2857142857142883</v>
      </c>
      <c r="N214" s="1">
        <f t="shared" ref="N214:N215" si="36">M214*I214</f>
        <v>37.000000000000014</v>
      </c>
      <c r="O214" s="1">
        <v>171</v>
      </c>
      <c r="P214" s="127">
        <f t="shared" ref="P214:P215" si="37">O214*N214</f>
        <v>6327.0000000000027</v>
      </c>
    </row>
    <row r="215" spans="1:16" x14ac:dyDescent="0.25">
      <c r="A215" s="1" t="s">
        <v>479</v>
      </c>
      <c r="B215" s="1"/>
      <c r="C215" s="1">
        <v>5000238583</v>
      </c>
      <c r="D215" s="1">
        <v>105</v>
      </c>
      <c r="E215" s="1" t="s">
        <v>67</v>
      </c>
      <c r="F215" s="1">
        <v>498.1</v>
      </c>
      <c r="G215" s="1" t="s">
        <v>23</v>
      </c>
      <c r="H215" s="1"/>
      <c r="I215" s="1">
        <v>5.5</v>
      </c>
      <c r="J215" s="1">
        <v>4.5</v>
      </c>
      <c r="K215" s="1">
        <f t="shared" si="33"/>
        <v>90.563636363636363</v>
      </c>
      <c r="L215" s="1">
        <f t="shared" si="34"/>
        <v>110.6888888888889</v>
      </c>
      <c r="M215" s="1">
        <f t="shared" si="35"/>
        <v>20.125252525252534</v>
      </c>
      <c r="N215" s="1">
        <f t="shared" si="36"/>
        <v>110.68888888888894</v>
      </c>
      <c r="O215" s="1">
        <v>171</v>
      </c>
      <c r="P215" s="127">
        <f t="shared" si="37"/>
        <v>18927.80000000001</v>
      </c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>
        <f>SUM(F213:F216)</f>
        <v>1147.7</v>
      </c>
      <c r="G217" s="1"/>
      <c r="H217" s="1"/>
      <c r="I217" s="1"/>
      <c r="J217" s="1"/>
      <c r="K217" s="1"/>
      <c r="L217" s="1"/>
      <c r="M217" s="1"/>
      <c r="N217" s="1"/>
      <c r="O217" s="5" t="s">
        <v>58</v>
      </c>
      <c r="P217" s="128">
        <f>SUM(P213:P215)</f>
        <v>46048.400000000023</v>
      </c>
    </row>
    <row r="219" spans="1:16" x14ac:dyDescent="0.25">
      <c r="N219" s="132">
        <f>P217+L209+L180+M170+L127+N52</f>
        <v>442864.35561605764</v>
      </c>
    </row>
    <row r="221" spans="1:16" x14ac:dyDescent="0.25">
      <c r="A221" s="1" t="s">
        <v>519</v>
      </c>
      <c r="B221" s="1"/>
      <c r="C221" s="1" t="s">
        <v>208</v>
      </c>
      <c r="D221" s="1" t="s">
        <v>168</v>
      </c>
      <c r="E221" s="1" t="s">
        <v>169</v>
      </c>
      <c r="F221" s="1" t="s">
        <v>22</v>
      </c>
      <c r="G221" s="4" t="s">
        <v>24</v>
      </c>
      <c r="H221" s="4"/>
      <c r="I221" s="1" t="s">
        <v>209</v>
      </c>
      <c r="J221" s="1" t="s">
        <v>210</v>
      </c>
      <c r="K221" s="1" t="s">
        <v>52</v>
      </c>
      <c r="L221" s="1" t="s">
        <v>21</v>
      </c>
    </row>
    <row r="222" spans="1:16" x14ac:dyDescent="0.25">
      <c r="A222" s="1" t="s">
        <v>509</v>
      </c>
      <c r="B222" s="1"/>
      <c r="C222" s="1">
        <v>5000238170</v>
      </c>
      <c r="D222" s="1">
        <v>1002615</v>
      </c>
      <c r="E222" s="1" t="s">
        <v>284</v>
      </c>
      <c r="F222" s="2">
        <v>1300</v>
      </c>
      <c r="G222" s="1" t="s">
        <v>520</v>
      </c>
      <c r="H222" s="1"/>
      <c r="I222" s="1">
        <v>4.0999999999999996</v>
      </c>
      <c r="J222" s="1">
        <v>5.15</v>
      </c>
      <c r="K222" s="1">
        <f t="shared" ref="K222:K223" si="38">J222-I222</f>
        <v>1.0500000000000007</v>
      </c>
      <c r="L222" s="2">
        <f>K222*F222</f>
        <v>1365.0000000000009</v>
      </c>
    </row>
    <row r="223" spans="1:16" x14ac:dyDescent="0.25">
      <c r="A223" s="1" t="s">
        <v>457</v>
      </c>
      <c r="B223" s="1"/>
      <c r="C223" s="1">
        <v>5000238813</v>
      </c>
      <c r="D223" s="1">
        <v>1002617</v>
      </c>
      <c r="E223" s="1" t="s">
        <v>285</v>
      </c>
      <c r="F223" s="2">
        <v>17630</v>
      </c>
      <c r="G223" s="1" t="s">
        <v>520</v>
      </c>
      <c r="H223" s="1"/>
      <c r="I223" s="1">
        <v>4.0999999999999996</v>
      </c>
      <c r="J223" s="1">
        <v>5.15</v>
      </c>
      <c r="K223" s="1">
        <f t="shared" si="38"/>
        <v>1.0500000000000007</v>
      </c>
      <c r="L223" s="2">
        <f>K223*F223</f>
        <v>18511.500000000011</v>
      </c>
    </row>
    <row r="224" spans="1:16" x14ac:dyDescent="0.25">
      <c r="A224" s="1"/>
      <c r="B224" s="1"/>
      <c r="C224" s="1"/>
      <c r="D224" s="1"/>
      <c r="E224" s="1"/>
      <c r="F224" s="2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2">
        <f>SUM(F222:F224)</f>
        <v>18930</v>
      </c>
      <c r="G225" s="1"/>
      <c r="H225" s="1"/>
      <c r="I225" s="1"/>
      <c r="J225" s="1"/>
      <c r="K225" s="1" t="s">
        <v>58</v>
      </c>
      <c r="L225" s="2">
        <f>SUM(L222:L224)</f>
        <v>19876.500000000011</v>
      </c>
    </row>
    <row r="227" spans="1:12" ht="45" x14ac:dyDescent="0.25">
      <c r="A227" s="1" t="s">
        <v>519</v>
      </c>
      <c r="B227" s="1"/>
      <c r="C227" s="1" t="s">
        <v>208</v>
      </c>
      <c r="D227" s="1" t="s">
        <v>168</v>
      </c>
      <c r="E227" s="1" t="s">
        <v>169</v>
      </c>
      <c r="F227" s="17" t="s">
        <v>289</v>
      </c>
      <c r="G227" s="17" t="s">
        <v>290</v>
      </c>
      <c r="H227" s="17"/>
      <c r="I227" s="1" t="s">
        <v>291</v>
      </c>
      <c r="J227" s="1"/>
      <c r="K227" s="1"/>
      <c r="L227" s="1" t="s">
        <v>21</v>
      </c>
    </row>
    <row r="228" spans="1:12" x14ac:dyDescent="0.25">
      <c r="A228" s="1" t="s">
        <v>509</v>
      </c>
      <c r="B228" s="1"/>
      <c r="C228" s="1">
        <v>5000238170</v>
      </c>
      <c r="D228" s="1">
        <v>1002615</v>
      </c>
      <c r="E228" s="1" t="s">
        <v>284</v>
      </c>
      <c r="F228" s="2">
        <v>1300</v>
      </c>
      <c r="G228" s="2">
        <f t="shared" ref="G228" si="39">F228*4</f>
        <v>5200</v>
      </c>
      <c r="H228" s="2"/>
      <c r="I228" s="1">
        <v>1.32</v>
      </c>
      <c r="J228" s="1"/>
      <c r="K228" s="1"/>
      <c r="L228" s="2">
        <f t="shared" ref="L228" si="40">I228*G228</f>
        <v>6864</v>
      </c>
    </row>
    <row r="229" spans="1:12" x14ac:dyDescent="0.25">
      <c r="A229" s="1" t="s">
        <v>457</v>
      </c>
      <c r="B229" s="1"/>
      <c r="C229" s="1">
        <v>5000238813</v>
      </c>
      <c r="D229" s="1">
        <v>1002617</v>
      </c>
      <c r="E229" s="1" t="s">
        <v>285</v>
      </c>
      <c r="F229" s="2">
        <v>17630</v>
      </c>
      <c r="G229" s="2">
        <f t="shared" ref="G229" si="41">F229*4</f>
        <v>70520</v>
      </c>
      <c r="H229" s="2"/>
      <c r="I229" s="1">
        <v>1.32</v>
      </c>
      <c r="J229" s="1"/>
      <c r="K229" s="1"/>
      <c r="L229" s="2">
        <f t="shared" ref="L229" si="42">I229*G229</f>
        <v>93086.400000000009</v>
      </c>
    </row>
    <row r="230" spans="1:12" x14ac:dyDescent="0.25">
      <c r="A230" s="1"/>
      <c r="B230" s="1"/>
      <c r="C230" s="1"/>
      <c r="D230" s="1"/>
      <c r="E230" s="1"/>
      <c r="F230" s="1"/>
      <c r="G230" s="2">
        <f>SUM(G228:G229)</f>
        <v>75720</v>
      </c>
      <c r="H230" s="2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 t="s">
        <v>58</v>
      </c>
      <c r="L231" s="2">
        <f>SUM(L228:L230)</f>
        <v>99950.400000000009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topLeftCell="A8" zoomScale="86" zoomScaleNormal="86" workbookViewId="0">
      <selection activeCell="G23" sqref="G23"/>
    </sheetView>
  </sheetViews>
  <sheetFormatPr defaultColWidth="19.7109375" defaultRowHeight="15" x14ac:dyDescent="0.25"/>
  <cols>
    <col min="2" max="2" width="21.5703125" bestFit="1" customWidth="1"/>
    <col min="3" max="3" width="22.42578125" style="29" customWidth="1"/>
    <col min="4" max="4" width="16.140625" customWidth="1"/>
    <col min="5" max="5" width="14.140625" customWidth="1"/>
    <col min="6" max="6" width="18.140625" customWidth="1"/>
    <col min="7" max="7" width="22.7109375" bestFit="1" customWidth="1"/>
    <col min="8" max="8" width="24.140625" bestFit="1" customWidth="1"/>
    <col min="9" max="9" width="21.85546875" bestFit="1" customWidth="1"/>
    <col min="10" max="10" width="10.85546875" customWidth="1"/>
  </cols>
  <sheetData>
    <row r="3" spans="1:10" ht="30" x14ac:dyDescent="0.25">
      <c r="B3" s="51" t="s">
        <v>77</v>
      </c>
      <c r="C3" s="53" t="s">
        <v>32</v>
      </c>
      <c r="D3" s="53" t="s">
        <v>33</v>
      </c>
      <c r="E3" s="53" t="s">
        <v>24</v>
      </c>
      <c r="F3" s="53" t="s">
        <v>34</v>
      </c>
      <c r="G3" s="53" t="s">
        <v>35</v>
      </c>
      <c r="H3" s="53" t="s">
        <v>36</v>
      </c>
      <c r="I3" s="53" t="s">
        <v>37</v>
      </c>
      <c r="J3" s="51" t="s">
        <v>57</v>
      </c>
    </row>
    <row r="4" spans="1:10" ht="30" x14ac:dyDescent="0.25">
      <c r="A4">
        <v>1</v>
      </c>
      <c r="B4" s="69" t="s">
        <v>73</v>
      </c>
      <c r="C4" s="62" t="s">
        <v>93</v>
      </c>
      <c r="D4" s="55">
        <f>'Consol April2016'!D4</f>
        <v>499955</v>
      </c>
      <c r="E4" s="56" t="s">
        <v>25</v>
      </c>
      <c r="F4" s="56" t="s">
        <v>117</v>
      </c>
      <c r="G4" s="88"/>
      <c r="H4" s="88">
        <f>'Consol April2016'!H4</f>
        <v>30280.750000000029</v>
      </c>
      <c r="I4" s="79" t="s">
        <v>26</v>
      </c>
      <c r="J4" s="58" t="s">
        <v>48</v>
      </c>
    </row>
    <row r="5" spans="1:10" ht="30" x14ac:dyDescent="0.25">
      <c r="A5">
        <v>2</v>
      </c>
      <c r="B5" s="69" t="s">
        <v>94</v>
      </c>
      <c r="C5" s="62" t="s">
        <v>27</v>
      </c>
      <c r="D5" s="55">
        <f>'Consol April2016'!D5+'Consol May2016'!D4+'Consol JUNE2016'!D4</f>
        <v>95421.140000000014</v>
      </c>
      <c r="E5" s="56" t="s">
        <v>23</v>
      </c>
      <c r="F5" s="56" t="s">
        <v>56</v>
      </c>
      <c r="G5" s="88">
        <f>'Consol April2016'!G5+'Consol May2016'!G4</f>
        <v>182867.33849999914</v>
      </c>
      <c r="H5" s="88">
        <f>'Consol April2016'!H5+'Consol May2016'!H4+'Consol JUNE2016'!H4</f>
        <v>675769.06864842051</v>
      </c>
      <c r="I5" s="79" t="s">
        <v>28</v>
      </c>
      <c r="J5" s="58" t="s">
        <v>48</v>
      </c>
    </row>
    <row r="6" spans="1:10" x14ac:dyDescent="0.25">
      <c r="A6">
        <v>3</v>
      </c>
      <c r="B6" s="69" t="s">
        <v>95</v>
      </c>
      <c r="C6" s="62" t="s">
        <v>27</v>
      </c>
      <c r="D6" s="55">
        <f>'Consol April2016'!D6+'Consol May2016'!D5+'Consol JUNE2016'!D5+'Consol JULY2016'!D5</f>
        <v>30008.460000000097</v>
      </c>
      <c r="E6" s="56" t="s">
        <v>23</v>
      </c>
      <c r="F6" s="56" t="s">
        <v>96</v>
      </c>
      <c r="G6" s="88">
        <f>'Consol April2016'!G6+'Consol May2016'!G5+'Consol JUNE2016'!G5</f>
        <v>56562.414999999732</v>
      </c>
      <c r="H6" s="88">
        <f>'Consol April2016'!H6+'Consol May2016'!H5+'Consol JUNE2016'!H5+'Consol JULY2016'!H5</f>
        <v>724046.72688754252</v>
      </c>
      <c r="I6" s="79" t="s">
        <v>40</v>
      </c>
      <c r="J6" s="58" t="s">
        <v>48</v>
      </c>
    </row>
    <row r="7" spans="1:10" ht="30" x14ac:dyDescent="0.25">
      <c r="A7">
        <v>4</v>
      </c>
      <c r="B7" s="69" t="s">
        <v>313</v>
      </c>
      <c r="C7" s="62" t="s">
        <v>30</v>
      </c>
      <c r="D7" s="55">
        <f>'MAY2016'!G360+'Consol JUNE2016'!D12</f>
        <v>2004.4</v>
      </c>
      <c r="E7" s="56" t="s">
        <v>23</v>
      </c>
      <c r="F7" s="56" t="s">
        <v>217</v>
      </c>
      <c r="G7" s="88">
        <f>'YTD FY2016-17'!G8+'Consol JUNE2016'!G12</f>
        <v>13133.620000000023</v>
      </c>
      <c r="H7" s="88"/>
      <c r="I7" s="79" t="s">
        <v>97</v>
      </c>
      <c r="J7" s="58" t="s">
        <v>48</v>
      </c>
    </row>
    <row r="8" spans="1:10" ht="45" x14ac:dyDescent="0.25">
      <c r="A8">
        <v>5</v>
      </c>
      <c r="B8" s="69" t="s">
        <v>76</v>
      </c>
      <c r="C8" s="62" t="s">
        <v>68</v>
      </c>
      <c r="D8" s="55">
        <f>'APR2016'!E247</f>
        <v>606</v>
      </c>
      <c r="E8" s="56" t="s">
        <v>23</v>
      </c>
      <c r="F8" s="56" t="s">
        <v>69</v>
      </c>
      <c r="G8" s="88"/>
      <c r="H8" s="88">
        <f>'APR2016'!O248</f>
        <v>26126.261818181818</v>
      </c>
      <c r="I8" s="79" t="s">
        <v>40</v>
      </c>
      <c r="J8" s="58" t="s">
        <v>48</v>
      </c>
    </row>
    <row r="9" spans="1:10" ht="30" x14ac:dyDescent="0.25">
      <c r="A9">
        <v>6</v>
      </c>
      <c r="B9" s="69" t="s">
        <v>98</v>
      </c>
      <c r="C9" s="62" t="s">
        <v>99</v>
      </c>
      <c r="D9" s="55">
        <f>'Consol April2016'!D8+'Consol May2016'!D6+'Consol JUNE2016'!D6+'Consol JULY2016'!D6</f>
        <v>7273590</v>
      </c>
      <c r="E9" s="56" t="s">
        <v>39</v>
      </c>
      <c r="F9" s="56" t="s">
        <v>100</v>
      </c>
      <c r="G9" s="88"/>
      <c r="H9" s="88">
        <f>'Consol April2016'!H8+'Consol May2016'!H6+'Consol JUNE2016'!H6+'Consol JULY2016'!H6</f>
        <v>119746.21446153824</v>
      </c>
      <c r="I9" s="79" t="s">
        <v>101</v>
      </c>
      <c r="J9" s="58" t="s">
        <v>48</v>
      </c>
    </row>
    <row r="10" spans="1:10" ht="30" x14ac:dyDescent="0.25">
      <c r="A10">
        <v>7</v>
      </c>
      <c r="B10" s="69" t="s">
        <v>98</v>
      </c>
      <c r="C10" s="62" t="s">
        <v>102</v>
      </c>
      <c r="D10" s="55">
        <f>'Consol April2016'!D9+'Consol May2016'!D7+'Consol JUNE2016'!D7+'Consol JULY2016'!D7</f>
        <v>70385.48</v>
      </c>
      <c r="E10" s="56" t="s">
        <v>23</v>
      </c>
      <c r="F10" s="56" t="s">
        <v>103</v>
      </c>
      <c r="G10" s="88"/>
      <c r="H10" s="88">
        <f>'Consol April2016'!H9+'Consol May2016'!H7+'Consol JUNE2016'!H7+'Consol JULY2016'!H7</f>
        <v>177064.98300000007</v>
      </c>
      <c r="I10" s="79" t="s">
        <v>101</v>
      </c>
      <c r="J10" s="58" t="s">
        <v>107</v>
      </c>
    </row>
    <row r="11" spans="1:10" ht="30" x14ac:dyDescent="0.25">
      <c r="A11">
        <v>8</v>
      </c>
      <c r="B11" s="62" t="s">
        <v>370</v>
      </c>
      <c r="C11" s="62" t="s">
        <v>47</v>
      </c>
      <c r="D11" s="55">
        <f>'YTD FY2016-17'!D13+'Consol JUNE2016'!D17+'Consol JULY2016'!D15</f>
        <v>463968</v>
      </c>
      <c r="E11" s="56" t="s">
        <v>29</v>
      </c>
      <c r="F11" s="56" t="s">
        <v>55</v>
      </c>
      <c r="G11" s="88">
        <f>'Consol April2016'!G12+'Consol May2016'!G12+'Consol JUNE2016'!G17+'Consol JULY2016'!G15</f>
        <v>21232.58</v>
      </c>
      <c r="H11" s="88">
        <f>'Consol April2016'!H12+'Consol May2016'!H12+'Consol JUNE2016'!H17</f>
        <v>48177.499999999993</v>
      </c>
      <c r="I11" s="79" t="s">
        <v>41</v>
      </c>
      <c r="J11" s="58" t="s">
        <v>48</v>
      </c>
    </row>
    <row r="12" spans="1:10" ht="30" x14ac:dyDescent="0.25">
      <c r="A12">
        <v>9</v>
      </c>
      <c r="B12" s="69" t="s">
        <v>76</v>
      </c>
      <c r="C12" s="63" t="s">
        <v>70</v>
      </c>
      <c r="D12" s="60"/>
      <c r="E12" s="61" t="s">
        <v>25</v>
      </c>
      <c r="F12" s="61">
        <v>0.38</v>
      </c>
      <c r="G12" s="89"/>
      <c r="H12" s="89"/>
      <c r="I12" s="80" t="s">
        <v>71</v>
      </c>
      <c r="J12" s="61" t="s">
        <v>48</v>
      </c>
    </row>
    <row r="13" spans="1:10" ht="30" x14ac:dyDescent="0.25">
      <c r="A13">
        <v>10</v>
      </c>
      <c r="B13" s="69" t="s">
        <v>260</v>
      </c>
      <c r="C13" s="62" t="s">
        <v>219</v>
      </c>
      <c r="D13" s="55">
        <f>200000+'Consol JUNE2016'!D9</f>
        <v>1811700</v>
      </c>
      <c r="E13" s="56" t="s">
        <v>25</v>
      </c>
      <c r="F13" s="56" t="s">
        <v>297</v>
      </c>
      <c r="G13" s="88">
        <f>'Consol JUNE2016'!G9+'Consol May2016'!G8</f>
        <v>80878.89285714287</v>
      </c>
      <c r="H13" s="88"/>
      <c r="I13" s="79"/>
      <c r="J13" s="58" t="s">
        <v>49</v>
      </c>
    </row>
    <row r="14" spans="1:10" ht="30" x14ac:dyDescent="0.25">
      <c r="A14">
        <v>11</v>
      </c>
      <c r="B14" s="69" t="s">
        <v>75</v>
      </c>
      <c r="C14" s="62" t="s">
        <v>45</v>
      </c>
      <c r="D14" s="55">
        <f>'Consol JUNE2016'!D8</f>
        <v>1236240</v>
      </c>
      <c r="E14" s="56" t="s">
        <v>46</v>
      </c>
      <c r="F14" s="56">
        <f>3000</f>
        <v>3000</v>
      </c>
      <c r="G14" s="88"/>
      <c r="H14" s="88">
        <f>'Consol JUNE2016'!H8</f>
        <v>278154.06953851739</v>
      </c>
      <c r="I14" s="79"/>
      <c r="J14" s="58" t="s">
        <v>49</v>
      </c>
    </row>
    <row r="15" spans="1:10" ht="27" x14ac:dyDescent="0.25">
      <c r="A15">
        <v>12</v>
      </c>
      <c r="B15" s="30" t="s">
        <v>299</v>
      </c>
      <c r="C15" s="65" t="s">
        <v>418</v>
      </c>
      <c r="D15" s="16">
        <f>'Consol JUNE2016'!D13+'Consol JULY2016'!D10</f>
        <v>105194</v>
      </c>
      <c r="E15" s="15" t="s">
        <v>29</v>
      </c>
      <c r="F15" s="15" t="s">
        <v>419</v>
      </c>
      <c r="G15" s="90">
        <f>'Consol JUNE2016'!G13+'Consol JULY2016'!G10</f>
        <v>41138.906000000003</v>
      </c>
      <c r="H15" s="90"/>
      <c r="I15" s="83" t="s">
        <v>301</v>
      </c>
      <c r="J15" s="23"/>
    </row>
    <row r="16" spans="1:10" x14ac:dyDescent="0.25">
      <c r="A16">
        <v>13</v>
      </c>
      <c r="B16" s="30" t="s">
        <v>299</v>
      </c>
      <c r="C16" s="65" t="s">
        <v>305</v>
      </c>
      <c r="D16" s="16">
        <f>'Consol JUNE2016'!D14+'Consol JULY2016'!D11</f>
        <v>372500</v>
      </c>
      <c r="E16" s="15" t="s">
        <v>29</v>
      </c>
      <c r="F16" s="15" t="s">
        <v>433</v>
      </c>
      <c r="G16" s="90">
        <f>'Consol JUNE2016'!G14+'Consol JULY2016'!G11</f>
        <v>115730</v>
      </c>
      <c r="H16" s="90"/>
      <c r="I16" s="83" t="s">
        <v>314</v>
      </c>
      <c r="J16" s="23"/>
    </row>
    <row r="17" spans="1:10" x14ac:dyDescent="0.25">
      <c r="A17">
        <v>14</v>
      </c>
      <c r="B17" s="69" t="s">
        <v>162</v>
      </c>
      <c r="C17" s="62" t="s">
        <v>152</v>
      </c>
      <c r="D17" s="55">
        <f>'Consol April2016'!D10+'Consol May2016'!D9+'Consol JUNE2016'!D10</f>
        <v>332729.3</v>
      </c>
      <c r="E17" s="56" t="s">
        <v>29</v>
      </c>
      <c r="F17" s="56"/>
      <c r="G17" s="88">
        <f>'Consol April2016'!G10+'Consol May2016'!G9+'Consol JUNE2016'!G10</f>
        <v>438040.72499999992</v>
      </c>
      <c r="H17" s="88"/>
      <c r="I17" s="79" t="s">
        <v>164</v>
      </c>
      <c r="J17" s="58" t="s">
        <v>48</v>
      </c>
    </row>
    <row r="18" spans="1:10" x14ac:dyDescent="0.25">
      <c r="A18">
        <v>15</v>
      </c>
      <c r="B18" s="69" t="s">
        <v>162</v>
      </c>
      <c r="C18" s="62" t="s">
        <v>165</v>
      </c>
      <c r="D18" s="55">
        <f>'Consol April2016'!D11+'Consol May2016'!D10+'Consol JUNE2016'!D11+'Consol JULY2016'!D8</f>
        <v>121527.91</v>
      </c>
      <c r="E18" s="56" t="s">
        <v>23</v>
      </c>
      <c r="F18" s="56"/>
      <c r="G18" s="88">
        <f>'Consol April2016'!G11+'Consol May2016'!G10+'Consol JUNE2016'!G11+'Consol JULY2016'!G8</f>
        <v>156228.58489999949</v>
      </c>
      <c r="H18" s="88"/>
      <c r="I18" s="79" t="s">
        <v>163</v>
      </c>
      <c r="J18" s="58" t="s">
        <v>48</v>
      </c>
    </row>
    <row r="19" spans="1:10" x14ac:dyDescent="0.25">
      <c r="A19">
        <v>16</v>
      </c>
      <c r="B19" s="30" t="s">
        <v>327</v>
      </c>
      <c r="C19" s="65" t="s">
        <v>434</v>
      </c>
      <c r="D19" s="105"/>
      <c r="E19" s="15"/>
      <c r="F19" s="101">
        <v>0.01</v>
      </c>
      <c r="G19" s="104">
        <v>224896</v>
      </c>
      <c r="H19" s="104"/>
      <c r="I19" s="92" t="s">
        <v>324</v>
      </c>
      <c r="J19" s="23" t="s">
        <v>48</v>
      </c>
    </row>
    <row r="20" spans="1:10" x14ac:dyDescent="0.25">
      <c r="A20">
        <v>17</v>
      </c>
      <c r="B20" s="30" t="s">
        <v>327</v>
      </c>
      <c r="C20" s="65" t="s">
        <v>325</v>
      </c>
      <c r="D20" s="105"/>
      <c r="E20" s="15"/>
      <c r="F20" s="101">
        <v>0.01</v>
      </c>
      <c r="G20" s="106">
        <v>62708</v>
      </c>
      <c r="H20" s="104"/>
      <c r="I20" s="92" t="s">
        <v>326</v>
      </c>
      <c r="J20" s="23" t="s">
        <v>48</v>
      </c>
    </row>
    <row r="21" spans="1:10" x14ac:dyDescent="0.25">
      <c r="A21">
        <v>18</v>
      </c>
      <c r="B21" s="30" t="s">
        <v>327</v>
      </c>
      <c r="C21" s="65" t="s">
        <v>435</v>
      </c>
      <c r="D21" s="105"/>
      <c r="E21" s="15"/>
      <c r="F21" s="101">
        <v>0.01</v>
      </c>
      <c r="G21" s="106">
        <f>'Consol JULY2016'!G12</f>
        <v>141626</v>
      </c>
      <c r="H21" s="104"/>
      <c r="I21" s="92"/>
      <c r="J21" s="23"/>
    </row>
    <row r="22" spans="1:10" x14ac:dyDescent="0.25">
      <c r="A22">
        <v>19</v>
      </c>
      <c r="B22" s="62" t="s">
        <v>421</v>
      </c>
      <c r="C22" s="62" t="s">
        <v>422</v>
      </c>
      <c r="D22" s="55">
        <f>'Consol JULY2016'!D13</f>
        <v>8820</v>
      </c>
      <c r="E22" s="56" t="s">
        <v>29</v>
      </c>
      <c r="F22" s="56" t="s">
        <v>426</v>
      </c>
      <c r="G22" s="84">
        <f>'Consol JULY2016'!G13</f>
        <v>125067.59999999999</v>
      </c>
      <c r="H22" s="84"/>
      <c r="I22" s="96" t="s">
        <v>423</v>
      </c>
      <c r="J22" s="58" t="s">
        <v>49</v>
      </c>
    </row>
    <row r="23" spans="1:10" ht="30" x14ac:dyDescent="0.25">
      <c r="A23">
        <v>20</v>
      </c>
      <c r="B23" s="62" t="s">
        <v>424</v>
      </c>
      <c r="C23" s="62" t="s">
        <v>425</v>
      </c>
      <c r="D23" s="84">
        <v>6</v>
      </c>
      <c r="E23" s="56" t="s">
        <v>427</v>
      </c>
      <c r="F23" s="56" t="s">
        <v>428</v>
      </c>
      <c r="G23" s="84">
        <f>8*6*1210</f>
        <v>58080</v>
      </c>
      <c r="H23" s="84"/>
      <c r="I23" s="96" t="s">
        <v>429</v>
      </c>
      <c r="J23" s="58" t="s">
        <v>49</v>
      </c>
    </row>
    <row r="24" spans="1:10" ht="21" x14ac:dyDescent="0.35">
      <c r="A24">
        <v>21</v>
      </c>
      <c r="B24" s="52"/>
      <c r="C24" s="203" t="s">
        <v>42</v>
      </c>
      <c r="D24" s="204"/>
      <c r="E24" s="66"/>
      <c r="F24" s="66"/>
      <c r="G24" s="91">
        <f>SUM(G4:G23)</f>
        <v>1718190.6622571412</v>
      </c>
      <c r="H24" s="91">
        <f>SUM(H4:H23)</f>
        <v>2079365.5743542004</v>
      </c>
      <c r="I24" s="82">
        <f>SUM(G24:H24)</f>
        <v>3797556.2366113416</v>
      </c>
      <c r="J24" s="67"/>
    </row>
    <row r="28" spans="1:10" ht="30" x14ac:dyDescent="0.25">
      <c r="B28" s="51" t="s">
        <v>77</v>
      </c>
      <c r="C28" s="53" t="s">
        <v>32</v>
      </c>
      <c r="D28" s="53" t="s">
        <v>33</v>
      </c>
      <c r="E28" s="53" t="s">
        <v>24</v>
      </c>
      <c r="F28" s="53" t="s">
        <v>34</v>
      </c>
      <c r="G28" s="53" t="s">
        <v>35</v>
      </c>
      <c r="H28" s="53" t="s">
        <v>36</v>
      </c>
      <c r="I28" s="53" t="s">
        <v>37</v>
      </c>
      <c r="J28" s="51" t="s">
        <v>57</v>
      </c>
    </row>
    <row r="29" spans="1:10" ht="30" x14ac:dyDescent="0.25">
      <c r="B29" s="30" t="s">
        <v>299</v>
      </c>
      <c r="C29" s="62" t="s">
        <v>317</v>
      </c>
      <c r="D29" s="55">
        <f>'Consol JUNE2016'!D32</f>
        <v>0</v>
      </c>
      <c r="E29" s="56" t="s">
        <v>29</v>
      </c>
      <c r="F29" s="56">
        <v>1.32</v>
      </c>
      <c r="G29" s="88">
        <f>'Consol JUNE2016'!G32</f>
        <v>0</v>
      </c>
      <c r="H29" s="88"/>
      <c r="I29" s="81" t="s">
        <v>315</v>
      </c>
      <c r="J29" s="58" t="s">
        <v>48</v>
      </c>
    </row>
    <row r="30" spans="1:10" ht="30" x14ac:dyDescent="0.25">
      <c r="B30" s="30" t="s">
        <v>299</v>
      </c>
      <c r="C30" s="62" t="s">
        <v>316</v>
      </c>
      <c r="D30" s="55">
        <f>'Consol JUNE2016'!D31</f>
        <v>0</v>
      </c>
      <c r="E30" s="56" t="s">
        <v>29</v>
      </c>
      <c r="F30" s="56">
        <v>1.05</v>
      </c>
      <c r="G30" s="88">
        <f>'Consol JUNE2016'!G31</f>
        <v>0</v>
      </c>
      <c r="H30" s="88"/>
      <c r="I30" s="81" t="s">
        <v>318</v>
      </c>
      <c r="J30" s="58" t="s">
        <v>48</v>
      </c>
    </row>
  </sheetData>
  <mergeCells count="1">
    <mergeCell ref="C24:D2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zoomScale="86" zoomScaleNormal="86" workbookViewId="0">
      <selection activeCell="B13" sqref="B13:J14"/>
    </sheetView>
  </sheetViews>
  <sheetFormatPr defaultColWidth="19.7109375" defaultRowHeight="15" x14ac:dyDescent="0.25"/>
  <cols>
    <col min="2" max="2" width="21.5703125" bestFit="1" customWidth="1"/>
    <col min="3" max="3" width="22.42578125" style="29" customWidth="1"/>
    <col min="4" max="4" width="13.85546875" bestFit="1" customWidth="1"/>
    <col min="5" max="5" width="14.140625" customWidth="1"/>
    <col min="6" max="7" width="20.42578125" bestFit="1" customWidth="1"/>
    <col min="8" max="8" width="15.140625" customWidth="1"/>
    <col min="9" max="9" width="22" bestFit="1" customWidth="1"/>
    <col min="10" max="10" width="10.85546875" customWidth="1"/>
  </cols>
  <sheetData>
    <row r="2" spans="2:10" ht="21" x14ac:dyDescent="0.35">
      <c r="B2" s="71" t="s">
        <v>432</v>
      </c>
    </row>
    <row r="3" spans="2:10" ht="27" x14ac:dyDescent="0.25">
      <c r="B3" s="27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ht="27" x14ac:dyDescent="0.25">
      <c r="B4" s="30" t="s">
        <v>94</v>
      </c>
      <c r="C4" s="65" t="s">
        <v>27</v>
      </c>
      <c r="D4" s="105"/>
      <c r="E4" s="15" t="s">
        <v>23</v>
      </c>
      <c r="F4" s="15" t="s">
        <v>56</v>
      </c>
      <c r="G4" s="104"/>
      <c r="H4" s="104"/>
      <c r="I4" s="92" t="s">
        <v>28</v>
      </c>
      <c r="J4" s="23" t="s">
        <v>48</v>
      </c>
    </row>
    <row r="5" spans="2:10" x14ac:dyDescent="0.25">
      <c r="B5" s="30" t="s">
        <v>95</v>
      </c>
      <c r="C5" s="65" t="s">
        <v>27</v>
      </c>
      <c r="D5" s="105">
        <f>'July 2016'!K14</f>
        <v>6921.7600000000975</v>
      </c>
      <c r="E5" s="15" t="s">
        <v>23</v>
      </c>
      <c r="F5" s="15" t="s">
        <v>417</v>
      </c>
      <c r="G5" s="104"/>
      <c r="H5" s="104">
        <f>'July 2016'!K16+'July 2016'!K31</f>
        <v>216635.33133291698</v>
      </c>
      <c r="I5" s="92" t="s">
        <v>40</v>
      </c>
      <c r="J5" s="23" t="s">
        <v>48</v>
      </c>
    </row>
    <row r="6" spans="2:10" ht="27" x14ac:dyDescent="0.25">
      <c r="B6" s="30" t="s">
        <v>98</v>
      </c>
      <c r="C6" s="65" t="s">
        <v>99</v>
      </c>
      <c r="D6" s="105">
        <f>'July 2016'!G81</f>
        <v>1505660</v>
      </c>
      <c r="E6" s="15" t="s">
        <v>39</v>
      </c>
      <c r="F6" s="15" t="s">
        <v>100</v>
      </c>
      <c r="G6" s="104"/>
      <c r="H6" s="104">
        <f>'July 2016'!K81</f>
        <v>24378.951999999961</v>
      </c>
      <c r="I6" s="92" t="s">
        <v>101</v>
      </c>
      <c r="J6" s="23" t="s">
        <v>48</v>
      </c>
    </row>
    <row r="7" spans="2:10" ht="27" x14ac:dyDescent="0.25">
      <c r="B7" s="30" t="s">
        <v>98</v>
      </c>
      <c r="C7" s="65" t="s">
        <v>102</v>
      </c>
      <c r="D7" s="105">
        <f>'July 2016'!G103</f>
        <v>14862.869999999999</v>
      </c>
      <c r="E7" s="15" t="s">
        <v>23</v>
      </c>
      <c r="F7" s="15" t="s">
        <v>103</v>
      </c>
      <c r="G7" s="104"/>
      <c r="H7" s="104">
        <f>'July 2016'!L103</f>
        <v>37635.227499999979</v>
      </c>
      <c r="I7" s="92" t="s">
        <v>101</v>
      </c>
      <c r="J7" s="23" t="s">
        <v>48</v>
      </c>
    </row>
    <row r="8" spans="2:10" x14ac:dyDescent="0.25">
      <c r="B8" s="30" t="s">
        <v>162</v>
      </c>
      <c r="C8" s="65" t="s">
        <v>165</v>
      </c>
      <c r="D8" s="105">
        <f>'July 2016'!F114</f>
        <v>4549</v>
      </c>
      <c r="E8" s="15"/>
      <c r="F8" s="15"/>
      <c r="G8" s="104">
        <f>'July 2016'!J114</f>
        <v>4878.7999999999811</v>
      </c>
      <c r="H8" s="104"/>
      <c r="I8" s="92" t="s">
        <v>430</v>
      </c>
      <c r="J8" s="23" t="s">
        <v>48</v>
      </c>
    </row>
    <row r="9" spans="2:10" ht="27" x14ac:dyDescent="0.25">
      <c r="B9" s="30" t="s">
        <v>308</v>
      </c>
      <c r="C9" s="72" t="s">
        <v>30</v>
      </c>
      <c r="D9" s="105">
        <f>June2016!G183</f>
        <v>993</v>
      </c>
      <c r="E9" s="15" t="s">
        <v>23</v>
      </c>
      <c r="F9" s="15" t="s">
        <v>307</v>
      </c>
      <c r="G9" s="104"/>
      <c r="H9" s="104"/>
      <c r="I9" s="92" t="s">
        <v>97</v>
      </c>
      <c r="J9" s="23" t="s">
        <v>48</v>
      </c>
    </row>
    <row r="10" spans="2:10" x14ac:dyDescent="0.25">
      <c r="B10" s="30" t="s">
        <v>299</v>
      </c>
      <c r="C10" s="65" t="s">
        <v>418</v>
      </c>
      <c r="D10" s="105">
        <f>'July 2016'!F123</f>
        <v>67934</v>
      </c>
      <c r="E10" s="15" t="s">
        <v>29</v>
      </c>
      <c r="F10" s="15" t="s">
        <v>419</v>
      </c>
      <c r="G10" s="104">
        <f>'July 2016'!K123</f>
        <v>20236.045999999998</v>
      </c>
      <c r="H10" s="104"/>
      <c r="I10" s="92" t="s">
        <v>301</v>
      </c>
      <c r="J10" s="23" t="s">
        <v>48</v>
      </c>
    </row>
    <row r="11" spans="2:10" ht="27" x14ac:dyDescent="0.25">
      <c r="B11" s="30" t="s">
        <v>299</v>
      </c>
      <c r="C11" s="65" t="s">
        <v>420</v>
      </c>
      <c r="D11" s="105">
        <f>'July 2016'!G134</f>
        <v>164600</v>
      </c>
      <c r="E11" s="15" t="s">
        <v>29</v>
      </c>
      <c r="F11" s="15" t="s">
        <v>433</v>
      </c>
      <c r="G11" s="104">
        <f>'July 2016'!K134</f>
        <v>45044.000000000007</v>
      </c>
      <c r="H11" s="104"/>
      <c r="I11" s="92" t="s">
        <v>314</v>
      </c>
      <c r="J11" s="23" t="s">
        <v>48</v>
      </c>
    </row>
    <row r="12" spans="2:10" ht="27" x14ac:dyDescent="0.25">
      <c r="B12" s="30" t="s">
        <v>327</v>
      </c>
      <c r="C12" s="65" t="s">
        <v>323</v>
      </c>
      <c r="D12" s="105"/>
      <c r="E12" s="15"/>
      <c r="F12" s="101">
        <v>0.01</v>
      </c>
      <c r="G12" s="104">
        <v>141626</v>
      </c>
      <c r="H12" s="104"/>
      <c r="I12" s="92" t="s">
        <v>431</v>
      </c>
      <c r="J12" s="23" t="s">
        <v>48</v>
      </c>
    </row>
    <row r="13" spans="2:10" x14ac:dyDescent="0.25">
      <c r="B13" s="62" t="s">
        <v>421</v>
      </c>
      <c r="C13" s="62" t="s">
        <v>422</v>
      </c>
      <c r="D13" s="84">
        <f>'July 2016'!G142</f>
        <v>8820</v>
      </c>
      <c r="E13" s="56" t="s">
        <v>29</v>
      </c>
      <c r="F13" s="56" t="s">
        <v>426</v>
      </c>
      <c r="G13" s="84">
        <f>'July 2016'!H142</f>
        <v>125067.59999999999</v>
      </c>
      <c r="H13" s="84"/>
      <c r="I13" s="96" t="s">
        <v>423</v>
      </c>
      <c r="J13" s="58" t="s">
        <v>49</v>
      </c>
    </row>
    <row r="14" spans="2:10" x14ac:dyDescent="0.25">
      <c r="B14" s="62" t="s">
        <v>424</v>
      </c>
      <c r="C14" s="62" t="s">
        <v>425</v>
      </c>
      <c r="D14" s="84">
        <v>6</v>
      </c>
      <c r="E14" s="56" t="s">
        <v>427</v>
      </c>
      <c r="F14" s="56" t="s">
        <v>428</v>
      </c>
      <c r="G14" s="84">
        <f>8*6*1210</f>
        <v>58080</v>
      </c>
      <c r="H14" s="84"/>
      <c r="I14" s="96" t="s">
        <v>429</v>
      </c>
      <c r="J14" s="58" t="s">
        <v>49</v>
      </c>
    </row>
    <row r="15" spans="2:10" ht="30" x14ac:dyDescent="0.25">
      <c r="B15" s="62" t="s">
        <v>370</v>
      </c>
      <c r="C15" s="62" t="s">
        <v>47</v>
      </c>
      <c r="D15" s="84">
        <f>'July 2016'!J159</f>
        <v>162118</v>
      </c>
      <c r="E15" s="56" t="s">
        <v>29</v>
      </c>
      <c r="F15" s="56" t="s">
        <v>55</v>
      </c>
      <c r="G15" s="84">
        <f>'July 2016'!N159</f>
        <v>11427.08</v>
      </c>
      <c r="H15" s="84"/>
      <c r="I15" s="96" t="s">
        <v>41</v>
      </c>
      <c r="J15" s="58" t="s">
        <v>48</v>
      </c>
    </row>
    <row r="16" spans="2:10" ht="19.5" x14ac:dyDescent="0.25">
      <c r="B16" s="19"/>
      <c r="C16" s="201" t="s">
        <v>42</v>
      </c>
      <c r="D16" s="202"/>
      <c r="E16" s="31"/>
      <c r="F16" s="31"/>
      <c r="G16" s="93">
        <f>SUM(G4:G15)</f>
        <v>406359.52600000001</v>
      </c>
      <c r="H16" s="114">
        <f>SUM(H5:H14)</f>
        <v>278649.51083291695</v>
      </c>
      <c r="I16" s="94">
        <f>G16+H16</f>
        <v>685009.03683291702</v>
      </c>
      <c r="J16" s="23"/>
    </row>
  </sheetData>
  <mergeCells count="1">
    <mergeCell ref="C16:D1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9"/>
  <sheetViews>
    <sheetView topLeftCell="A115" workbookViewId="0">
      <selection activeCell="K139" sqref="K139:K140"/>
    </sheetView>
  </sheetViews>
  <sheetFormatPr defaultRowHeight="15" x14ac:dyDescent="0.25"/>
  <cols>
    <col min="1" max="1" width="11.42578125" customWidth="1"/>
    <col min="2" max="2" width="32" bestFit="1" customWidth="1"/>
    <col min="3" max="3" width="20.140625" customWidth="1"/>
    <col min="5" max="5" width="45.7109375" customWidth="1"/>
    <col min="6" max="6" width="16.5703125" bestFit="1" customWidth="1"/>
    <col min="7" max="7" width="28.42578125" customWidth="1"/>
    <col min="8" max="8" width="13.42578125" bestFit="1" customWidth="1"/>
    <col min="9" max="9" width="42.7109375" customWidth="1"/>
    <col min="10" max="10" width="10.42578125" bestFit="1" customWidth="1"/>
    <col min="11" max="11" width="8" bestFit="1" customWidth="1"/>
  </cols>
  <sheetData>
    <row r="3" spans="1:17" ht="45" x14ac:dyDescent="0.25">
      <c r="A3" s="1"/>
      <c r="B3" s="1" t="s">
        <v>172</v>
      </c>
      <c r="C3" s="1" t="s">
        <v>168</v>
      </c>
      <c r="D3" s="1" t="s">
        <v>167</v>
      </c>
      <c r="E3" s="1" t="s">
        <v>169</v>
      </c>
      <c r="F3" s="1"/>
      <c r="G3" s="1" t="s">
        <v>22</v>
      </c>
      <c r="H3" s="25" t="s">
        <v>61</v>
      </c>
      <c r="I3" s="25" t="s">
        <v>62</v>
      </c>
      <c r="J3" s="12" t="s">
        <v>52</v>
      </c>
      <c r="K3" s="12" t="s">
        <v>21</v>
      </c>
      <c r="L3" s="17" t="s">
        <v>53</v>
      </c>
      <c r="M3" s="17" t="s">
        <v>54</v>
      </c>
      <c r="N3" s="17" t="s">
        <v>1</v>
      </c>
      <c r="O3" s="17" t="s">
        <v>2</v>
      </c>
      <c r="P3" s="17" t="s">
        <v>3</v>
      </c>
      <c r="Q3" s="17" t="s">
        <v>4</v>
      </c>
    </row>
    <row r="4" spans="1:17" x14ac:dyDescent="0.25">
      <c r="A4" s="1" t="s">
        <v>371</v>
      </c>
      <c r="B4" s="1">
        <v>5000233462</v>
      </c>
      <c r="C4" s="1"/>
      <c r="D4" s="1">
        <v>105</v>
      </c>
      <c r="E4" s="1" t="s">
        <v>13</v>
      </c>
      <c r="F4" s="1" t="s">
        <v>372</v>
      </c>
      <c r="G4" s="110">
        <v>1903.5</v>
      </c>
      <c r="H4" s="1">
        <v>152.6</v>
      </c>
      <c r="I4" s="3">
        <v>153.4</v>
      </c>
      <c r="J4" s="3">
        <f t="shared" ref="J4:J11" si="0">I4-H4</f>
        <v>0.80000000000001137</v>
      </c>
      <c r="K4" s="1">
        <f t="shared" ref="K4:K11" si="1">J4*G4</f>
        <v>1522.8000000000216</v>
      </c>
      <c r="L4" s="3">
        <v>20.11</v>
      </c>
      <c r="M4" s="7">
        <v>19.600000000000001</v>
      </c>
      <c r="N4" s="7">
        <f t="shared" ref="N4:N11" si="2">G4/L4</f>
        <v>94.65440079562407</v>
      </c>
      <c r="O4" s="7">
        <f t="shared" ref="O4:O11" si="3">G4/M4</f>
        <v>97.117346938775498</v>
      </c>
      <c r="P4" s="7">
        <f t="shared" ref="P4:P11" si="4">O4-N4</f>
        <v>2.4629461431514272</v>
      </c>
      <c r="Q4" s="10">
        <f t="shared" ref="Q4:Q11" si="5">P4*L4*I4</f>
        <v>7597.8785204081159</v>
      </c>
    </row>
    <row r="5" spans="1:17" x14ac:dyDescent="0.25">
      <c r="A5" s="1" t="s">
        <v>373</v>
      </c>
      <c r="B5" s="1">
        <v>5000231034</v>
      </c>
      <c r="C5" s="1"/>
      <c r="D5" s="1">
        <v>105</v>
      </c>
      <c r="E5" s="1" t="s">
        <v>13</v>
      </c>
      <c r="F5" s="1" t="s">
        <v>374</v>
      </c>
      <c r="G5" s="25">
        <v>973.1</v>
      </c>
      <c r="H5" s="1">
        <v>152.6</v>
      </c>
      <c r="I5" s="3">
        <v>153.4</v>
      </c>
      <c r="J5" s="3">
        <f t="shared" si="0"/>
        <v>0.80000000000001137</v>
      </c>
      <c r="K5" s="1">
        <f t="shared" si="1"/>
        <v>778.48000000001105</v>
      </c>
      <c r="L5" s="3">
        <v>20.11</v>
      </c>
      <c r="M5" s="7">
        <v>19.600000000000001</v>
      </c>
      <c r="N5" s="7">
        <f t="shared" si="2"/>
        <v>48.388861263053208</v>
      </c>
      <c r="O5" s="7">
        <f t="shared" si="3"/>
        <v>49.647959183673464</v>
      </c>
      <c r="P5" s="7">
        <f t="shared" si="4"/>
        <v>1.2590979206202562</v>
      </c>
      <c r="Q5" s="10">
        <f t="shared" si="5"/>
        <v>3884.158438775492</v>
      </c>
    </row>
    <row r="6" spans="1:17" x14ac:dyDescent="0.25">
      <c r="A6" s="1" t="s">
        <v>373</v>
      </c>
      <c r="B6" s="1">
        <v>5000231033</v>
      </c>
      <c r="C6" s="1"/>
      <c r="D6" s="1">
        <v>105</v>
      </c>
      <c r="E6" s="1" t="s">
        <v>11</v>
      </c>
      <c r="F6" s="1" t="s">
        <v>374</v>
      </c>
      <c r="G6" s="25">
        <v>847.8</v>
      </c>
      <c r="H6" s="1">
        <v>152.6</v>
      </c>
      <c r="I6" s="3">
        <v>153.4</v>
      </c>
      <c r="J6" s="3">
        <f t="shared" si="0"/>
        <v>0.80000000000001137</v>
      </c>
      <c r="K6" s="1">
        <f t="shared" si="1"/>
        <v>678.24000000000956</v>
      </c>
      <c r="L6" s="9">
        <v>20.8</v>
      </c>
      <c r="M6" s="9">
        <v>19.559999999999999</v>
      </c>
      <c r="N6" s="7">
        <f t="shared" si="2"/>
        <v>40.75961538461538</v>
      </c>
      <c r="O6" s="7">
        <f t="shared" si="3"/>
        <v>43.343558282208591</v>
      </c>
      <c r="P6" s="7">
        <f t="shared" si="4"/>
        <v>2.5839428975932108</v>
      </c>
      <c r="Q6" s="10">
        <f t="shared" si="5"/>
        <v>8244.6382822086107</v>
      </c>
    </row>
    <row r="7" spans="1:17" x14ac:dyDescent="0.25">
      <c r="A7" s="1" t="s">
        <v>375</v>
      </c>
      <c r="B7" s="1">
        <v>5000234874</v>
      </c>
      <c r="C7" s="1"/>
      <c r="D7" s="1">
        <v>105</v>
      </c>
      <c r="E7" s="1" t="s">
        <v>5</v>
      </c>
      <c r="F7" s="1" t="s">
        <v>372</v>
      </c>
      <c r="G7" s="25">
        <v>380.4</v>
      </c>
      <c r="H7" s="1">
        <v>152.6</v>
      </c>
      <c r="I7" s="3">
        <v>153.4</v>
      </c>
      <c r="J7" s="3">
        <f t="shared" si="0"/>
        <v>0.80000000000001137</v>
      </c>
      <c r="K7" s="1">
        <f t="shared" si="1"/>
        <v>304.32000000000431</v>
      </c>
      <c r="L7" s="9">
        <v>20.8</v>
      </c>
      <c r="M7" s="9">
        <v>19.559999999999999</v>
      </c>
      <c r="N7" s="7">
        <f t="shared" si="2"/>
        <v>18.288461538461537</v>
      </c>
      <c r="O7" s="7">
        <f t="shared" si="3"/>
        <v>19.447852760736197</v>
      </c>
      <c r="P7" s="7">
        <f t="shared" si="4"/>
        <v>1.1593912222746603</v>
      </c>
      <c r="Q7" s="10">
        <f t="shared" si="5"/>
        <v>3699.2927607362039</v>
      </c>
    </row>
    <row r="8" spans="1:17" x14ac:dyDescent="0.25">
      <c r="A8" s="1" t="s">
        <v>375</v>
      </c>
      <c r="B8" s="1">
        <v>5000234875</v>
      </c>
      <c r="C8" s="1"/>
      <c r="D8" s="1">
        <v>105</v>
      </c>
      <c r="E8" s="1" t="s">
        <v>5</v>
      </c>
      <c r="F8" s="1" t="s">
        <v>372</v>
      </c>
      <c r="G8" s="110">
        <v>1660.6</v>
      </c>
      <c r="H8" s="1">
        <v>152.6</v>
      </c>
      <c r="I8" s="3">
        <v>153.4</v>
      </c>
      <c r="J8" s="3">
        <f t="shared" si="0"/>
        <v>0.80000000000001137</v>
      </c>
      <c r="K8" s="1">
        <f t="shared" si="1"/>
        <v>1328.4800000000189</v>
      </c>
      <c r="L8" s="9">
        <v>20.8</v>
      </c>
      <c r="M8" s="9">
        <v>19.559999999999999</v>
      </c>
      <c r="N8" s="7">
        <f t="shared" si="2"/>
        <v>79.836538461538453</v>
      </c>
      <c r="O8" s="7">
        <f t="shared" si="3"/>
        <v>84.897750511247452</v>
      </c>
      <c r="P8" s="7">
        <f t="shared" si="4"/>
        <v>5.061212049708999</v>
      </c>
      <c r="Q8" s="10">
        <f t="shared" si="5"/>
        <v>16148.910511247499</v>
      </c>
    </row>
    <row r="9" spans="1:17" x14ac:dyDescent="0.25">
      <c r="A9" s="1" t="s">
        <v>375</v>
      </c>
      <c r="B9" s="1">
        <v>5000234877</v>
      </c>
      <c r="C9" s="1"/>
      <c r="D9" s="1">
        <v>105</v>
      </c>
      <c r="E9" s="1" t="s">
        <v>5</v>
      </c>
      <c r="F9" s="1" t="s">
        <v>372</v>
      </c>
      <c r="G9" s="25">
        <v>152.30000000000001</v>
      </c>
      <c r="H9" s="1">
        <v>152.6</v>
      </c>
      <c r="I9" s="3">
        <v>153.4</v>
      </c>
      <c r="J9" s="3">
        <f t="shared" si="0"/>
        <v>0.80000000000001137</v>
      </c>
      <c r="K9" s="1">
        <f t="shared" si="1"/>
        <v>121.84000000000174</v>
      </c>
      <c r="L9" s="9">
        <v>20.8</v>
      </c>
      <c r="M9" s="9">
        <v>19.559999999999999</v>
      </c>
      <c r="N9" s="7">
        <f t="shared" si="2"/>
        <v>7.322115384615385</v>
      </c>
      <c r="O9" s="7">
        <f t="shared" si="3"/>
        <v>7.7862985685071582</v>
      </c>
      <c r="P9" s="7">
        <f t="shared" si="4"/>
        <v>0.46418318389177315</v>
      </c>
      <c r="Q9" s="10">
        <f t="shared" si="5"/>
        <v>1481.0785685071585</v>
      </c>
    </row>
    <row r="10" spans="1:17" x14ac:dyDescent="0.25">
      <c r="A10" s="1" t="s">
        <v>373</v>
      </c>
      <c r="B10" s="1">
        <v>5000231033</v>
      </c>
      <c r="C10" s="1"/>
      <c r="D10" s="1">
        <v>105</v>
      </c>
      <c r="E10" s="1" t="s">
        <v>5</v>
      </c>
      <c r="F10" s="1" t="s">
        <v>374</v>
      </c>
      <c r="G10" s="110">
        <v>1066.5</v>
      </c>
      <c r="H10" s="1">
        <v>152.6</v>
      </c>
      <c r="I10" s="3">
        <v>153.4</v>
      </c>
      <c r="J10" s="3">
        <f t="shared" si="0"/>
        <v>0.80000000000001137</v>
      </c>
      <c r="K10" s="1">
        <f t="shared" si="1"/>
        <v>853.2000000000121</v>
      </c>
      <c r="L10" s="9">
        <v>20.8</v>
      </c>
      <c r="M10" s="9">
        <v>19.559999999999999</v>
      </c>
      <c r="N10" s="7">
        <f t="shared" si="2"/>
        <v>51.27403846153846</v>
      </c>
      <c r="O10" s="7">
        <f t="shared" si="3"/>
        <v>54.524539877300619</v>
      </c>
      <c r="P10" s="7">
        <f t="shared" si="4"/>
        <v>3.2505014157621588</v>
      </c>
      <c r="Q10" s="10">
        <f t="shared" si="5"/>
        <v>10371.439877300636</v>
      </c>
    </row>
    <row r="11" spans="1:17" x14ac:dyDescent="0.25">
      <c r="A11" s="1" t="s">
        <v>376</v>
      </c>
      <c r="B11" s="1">
        <v>5000237578</v>
      </c>
      <c r="C11" s="1"/>
      <c r="D11" s="1">
        <v>105</v>
      </c>
      <c r="E11" s="1" t="s">
        <v>19</v>
      </c>
      <c r="F11" s="1" t="s">
        <v>372</v>
      </c>
      <c r="G11" s="111">
        <v>1668</v>
      </c>
      <c r="H11" s="1">
        <v>152.6</v>
      </c>
      <c r="I11" s="3">
        <v>153.4</v>
      </c>
      <c r="J11" s="3">
        <f t="shared" si="0"/>
        <v>0.80000000000001137</v>
      </c>
      <c r="K11" s="1">
        <f t="shared" si="1"/>
        <v>1334.400000000019</v>
      </c>
      <c r="L11" s="9">
        <v>26</v>
      </c>
      <c r="M11" s="9">
        <v>24.67</v>
      </c>
      <c r="N11" s="7">
        <f t="shared" si="2"/>
        <v>64.15384615384616</v>
      </c>
      <c r="O11" s="7">
        <f t="shared" si="3"/>
        <v>67.612484799351435</v>
      </c>
      <c r="P11" s="7">
        <f t="shared" si="4"/>
        <v>3.4586386455052747</v>
      </c>
      <c r="Q11" s="10">
        <f t="shared" si="5"/>
        <v>13794.434373733238</v>
      </c>
    </row>
    <row r="12" spans="1:17" x14ac:dyDescent="0.25">
      <c r="A12" s="1"/>
      <c r="B12" s="1"/>
      <c r="C12" s="1"/>
      <c r="D12" s="1"/>
      <c r="E12" s="1"/>
      <c r="F12" s="1"/>
      <c r="G12" s="1"/>
      <c r="H12" s="25"/>
      <c r="I12" s="25"/>
      <c r="J12" s="12"/>
      <c r="K12" s="12"/>
      <c r="L12" s="17"/>
      <c r="M12" s="17"/>
      <c r="N12" s="17"/>
      <c r="O12" s="17"/>
      <c r="P12" s="17"/>
      <c r="Q12" s="17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5" t="s">
        <v>21</v>
      </c>
      <c r="K14" s="5">
        <f>SUM(K4:K11)</f>
        <v>6921.7600000000975</v>
      </c>
      <c r="L14" s="5"/>
      <c r="M14" s="5"/>
      <c r="N14" s="5"/>
      <c r="O14" s="5"/>
      <c r="P14" s="5"/>
      <c r="Q14" s="5">
        <f>SUM(Q4:Q11)</f>
        <v>65221.831332916961</v>
      </c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5" t="s">
        <v>63</v>
      </c>
      <c r="I16" s="1"/>
      <c r="J16" s="1"/>
      <c r="K16" s="1">
        <f>K14+Q14</f>
        <v>72143.591332917058</v>
      </c>
      <c r="L16" s="1"/>
      <c r="M16" s="1"/>
      <c r="N16" s="1"/>
      <c r="O16" s="1"/>
      <c r="P16" s="1"/>
      <c r="Q16" s="1"/>
    </row>
    <row r="18" spans="3:11" x14ac:dyDescent="0.25">
      <c r="C18" s="6" t="s">
        <v>166</v>
      </c>
    </row>
    <row r="21" spans="3:11" x14ac:dyDescent="0.25">
      <c r="D21" s="1" t="s">
        <v>167</v>
      </c>
      <c r="E21" s="1" t="s">
        <v>169</v>
      </c>
      <c r="F21" s="1"/>
      <c r="G21" s="1" t="s">
        <v>22</v>
      </c>
      <c r="H21" s="1" t="s">
        <v>170</v>
      </c>
      <c r="I21" s="1" t="s">
        <v>171</v>
      </c>
      <c r="J21" s="1" t="s">
        <v>52</v>
      </c>
      <c r="K21" s="5" t="s">
        <v>21</v>
      </c>
    </row>
    <row r="22" spans="3:11" x14ac:dyDescent="0.25">
      <c r="D22" s="1">
        <v>105</v>
      </c>
      <c r="E22" s="1" t="s">
        <v>13</v>
      </c>
      <c r="F22" s="1" t="s">
        <v>372</v>
      </c>
      <c r="G22" s="110">
        <v>1903.5</v>
      </c>
      <c r="H22" s="1">
        <v>162.9</v>
      </c>
      <c r="I22" s="1">
        <v>179.6</v>
      </c>
      <c r="J22" s="1">
        <f>I22-H22</f>
        <v>16.699999999999989</v>
      </c>
      <c r="K22" s="5">
        <f>J22*G22</f>
        <v>31788.449999999979</v>
      </c>
    </row>
    <row r="23" spans="3:11" x14ac:dyDescent="0.25">
      <c r="D23" s="1">
        <v>105</v>
      </c>
      <c r="E23" s="1" t="s">
        <v>13</v>
      </c>
      <c r="F23" s="1" t="s">
        <v>374</v>
      </c>
      <c r="G23" s="25">
        <v>973.1</v>
      </c>
      <c r="H23" s="1">
        <v>162.9</v>
      </c>
      <c r="I23" s="1">
        <v>179.6</v>
      </c>
      <c r="J23" s="1">
        <f t="shared" ref="J23:J29" si="6">I23-H23</f>
        <v>16.699999999999989</v>
      </c>
      <c r="K23" s="5">
        <f t="shared" ref="K23:K29" si="7">J23*G23</f>
        <v>16250.76999999999</v>
      </c>
    </row>
    <row r="24" spans="3:11" x14ac:dyDescent="0.25">
      <c r="D24" s="1">
        <v>105</v>
      </c>
      <c r="E24" s="1" t="s">
        <v>11</v>
      </c>
      <c r="F24" s="1" t="s">
        <v>374</v>
      </c>
      <c r="G24" s="25">
        <v>847.8</v>
      </c>
      <c r="H24" s="1">
        <v>162.9</v>
      </c>
      <c r="I24" s="1">
        <v>179.6</v>
      </c>
      <c r="J24" s="1">
        <f t="shared" si="6"/>
        <v>16.699999999999989</v>
      </c>
      <c r="K24" s="5">
        <f t="shared" si="7"/>
        <v>14158.259999999989</v>
      </c>
    </row>
    <row r="25" spans="3:11" x14ac:dyDescent="0.25">
      <c r="D25" s="1">
        <v>105</v>
      </c>
      <c r="E25" s="1" t="s">
        <v>5</v>
      </c>
      <c r="F25" s="1" t="s">
        <v>372</v>
      </c>
      <c r="G25" s="25">
        <v>380.4</v>
      </c>
      <c r="H25" s="1">
        <v>162.9</v>
      </c>
      <c r="I25" s="1">
        <v>179.6</v>
      </c>
      <c r="J25" s="1">
        <f t="shared" si="6"/>
        <v>16.699999999999989</v>
      </c>
      <c r="K25" s="5">
        <f t="shared" si="7"/>
        <v>6352.6799999999957</v>
      </c>
    </row>
    <row r="26" spans="3:11" x14ac:dyDescent="0.25">
      <c r="D26" s="1">
        <v>105</v>
      </c>
      <c r="E26" s="1" t="s">
        <v>5</v>
      </c>
      <c r="F26" s="1" t="s">
        <v>372</v>
      </c>
      <c r="G26" s="110">
        <v>1660.6</v>
      </c>
      <c r="H26" s="1">
        <v>162.9</v>
      </c>
      <c r="I26" s="1">
        <v>179.6</v>
      </c>
      <c r="J26" s="1">
        <f t="shared" si="6"/>
        <v>16.699999999999989</v>
      </c>
      <c r="K26" s="5">
        <f t="shared" si="7"/>
        <v>27732.019999999979</v>
      </c>
    </row>
    <row r="27" spans="3:11" x14ac:dyDescent="0.25">
      <c r="D27" s="1">
        <v>105</v>
      </c>
      <c r="E27" s="1" t="s">
        <v>5</v>
      </c>
      <c r="F27" s="1" t="s">
        <v>372</v>
      </c>
      <c r="G27" s="25">
        <v>152.30000000000001</v>
      </c>
      <c r="H27" s="1">
        <v>162.9</v>
      </c>
      <c r="I27" s="1">
        <v>179.6</v>
      </c>
      <c r="J27" s="1">
        <f t="shared" si="6"/>
        <v>16.699999999999989</v>
      </c>
      <c r="K27" s="5">
        <f t="shared" si="7"/>
        <v>2543.4099999999985</v>
      </c>
    </row>
    <row r="28" spans="3:11" x14ac:dyDescent="0.25">
      <c r="D28" s="1">
        <v>105</v>
      </c>
      <c r="E28" s="1" t="s">
        <v>5</v>
      </c>
      <c r="F28" s="1" t="s">
        <v>374</v>
      </c>
      <c r="G28" s="110">
        <v>1066.5</v>
      </c>
      <c r="H28" s="1">
        <v>162.9</v>
      </c>
      <c r="I28" s="1">
        <v>179.6</v>
      </c>
      <c r="J28" s="1">
        <f t="shared" si="6"/>
        <v>16.699999999999989</v>
      </c>
      <c r="K28" s="5">
        <f t="shared" si="7"/>
        <v>17810.549999999988</v>
      </c>
    </row>
    <row r="29" spans="3:11" x14ac:dyDescent="0.25">
      <c r="D29" s="1">
        <v>105</v>
      </c>
      <c r="E29" s="1" t="s">
        <v>19</v>
      </c>
      <c r="F29" s="1" t="s">
        <v>372</v>
      </c>
      <c r="G29" s="111">
        <v>1668</v>
      </c>
      <c r="H29" s="1">
        <v>162.9</v>
      </c>
      <c r="I29" s="1">
        <v>179.6</v>
      </c>
      <c r="J29" s="1">
        <f t="shared" si="6"/>
        <v>16.699999999999989</v>
      </c>
      <c r="K29" s="5">
        <f t="shared" si="7"/>
        <v>27855.59999999998</v>
      </c>
    </row>
    <row r="31" spans="3:11" x14ac:dyDescent="0.25">
      <c r="G31" s="112"/>
      <c r="J31" s="6" t="s">
        <v>377</v>
      </c>
      <c r="K31" s="112">
        <f>SUM(K22:K29)</f>
        <v>144491.7399999999</v>
      </c>
    </row>
    <row r="34" spans="1:11" x14ac:dyDescent="0.25">
      <c r="A34" s="6" t="s">
        <v>79</v>
      </c>
    </row>
    <row r="35" spans="1:11" x14ac:dyDescent="0.25">
      <c r="A35" s="1" t="s">
        <v>390</v>
      </c>
      <c r="B35" s="1" t="s">
        <v>172</v>
      </c>
      <c r="C35" s="1" t="s">
        <v>168</v>
      </c>
      <c r="D35" s="1" t="s">
        <v>167</v>
      </c>
      <c r="E35" s="1" t="s">
        <v>169</v>
      </c>
      <c r="F35" s="1"/>
      <c r="G35" s="1" t="s">
        <v>22</v>
      </c>
      <c r="H35" s="1" t="s">
        <v>50</v>
      </c>
      <c r="I35" s="1" t="s">
        <v>192</v>
      </c>
      <c r="J35" s="1" t="s">
        <v>52</v>
      </c>
      <c r="K35" s="1" t="s">
        <v>21</v>
      </c>
    </row>
    <row r="36" spans="1:11" x14ac:dyDescent="0.25">
      <c r="A36" s="1" t="s">
        <v>378</v>
      </c>
      <c r="B36" s="1">
        <v>5000235446</v>
      </c>
      <c r="C36" s="1">
        <v>114</v>
      </c>
      <c r="D36" s="1">
        <v>105</v>
      </c>
      <c r="E36" s="1" t="s">
        <v>80</v>
      </c>
      <c r="F36" s="1" t="s">
        <v>379</v>
      </c>
      <c r="G36" s="2">
        <v>7670</v>
      </c>
      <c r="H36" s="1">
        <v>41.3</v>
      </c>
      <c r="I36" s="5">
        <v>43.38</v>
      </c>
      <c r="J36" s="1">
        <f t="shared" ref="J36:J47" si="8">I36-H36</f>
        <v>2.0800000000000054</v>
      </c>
      <c r="K36" s="5">
        <f t="shared" ref="K36:K43" si="9">G36*J36/130</f>
        <v>122.72000000000033</v>
      </c>
    </row>
    <row r="37" spans="1:11" x14ac:dyDescent="0.25">
      <c r="A37" s="1" t="s">
        <v>380</v>
      </c>
      <c r="B37" s="1">
        <v>5000232595</v>
      </c>
      <c r="C37" s="1">
        <v>114</v>
      </c>
      <c r="D37" s="1">
        <v>105</v>
      </c>
      <c r="E37" s="1" t="s">
        <v>80</v>
      </c>
      <c r="F37" s="1" t="s">
        <v>381</v>
      </c>
      <c r="G37" s="2">
        <v>11830</v>
      </c>
      <c r="H37" s="1">
        <v>41.3</v>
      </c>
      <c r="I37" s="5">
        <v>43.38</v>
      </c>
      <c r="J37" s="1">
        <f t="shared" si="8"/>
        <v>2.0800000000000054</v>
      </c>
      <c r="K37" s="5">
        <f t="shared" si="9"/>
        <v>189.28000000000048</v>
      </c>
    </row>
    <row r="38" spans="1:11" x14ac:dyDescent="0.25">
      <c r="A38" s="1" t="s">
        <v>378</v>
      </c>
      <c r="B38" s="1">
        <v>5000235446</v>
      </c>
      <c r="C38" s="1">
        <v>114</v>
      </c>
      <c r="D38" s="1">
        <v>105</v>
      </c>
      <c r="E38" s="1" t="s">
        <v>81</v>
      </c>
      <c r="F38" s="1" t="s">
        <v>379</v>
      </c>
      <c r="G38" s="2">
        <v>3250</v>
      </c>
      <c r="H38" s="1">
        <v>41.3</v>
      </c>
      <c r="I38" s="5">
        <v>43.38</v>
      </c>
      <c r="J38" s="1">
        <f t="shared" si="8"/>
        <v>2.0800000000000054</v>
      </c>
      <c r="K38" s="5">
        <f t="shared" si="9"/>
        <v>52.000000000000135</v>
      </c>
    </row>
    <row r="39" spans="1:11" x14ac:dyDescent="0.25">
      <c r="A39" s="1" t="s">
        <v>378</v>
      </c>
      <c r="B39" s="1">
        <v>5000235446</v>
      </c>
      <c r="C39" s="1">
        <v>114</v>
      </c>
      <c r="D39" s="1">
        <v>105</v>
      </c>
      <c r="E39" s="1" t="s">
        <v>81</v>
      </c>
      <c r="F39" s="1" t="s">
        <v>379</v>
      </c>
      <c r="G39" s="2">
        <v>34190</v>
      </c>
      <c r="H39" s="1">
        <v>41.3</v>
      </c>
      <c r="I39" s="5">
        <v>43.38</v>
      </c>
      <c r="J39" s="1">
        <f t="shared" si="8"/>
        <v>2.0800000000000054</v>
      </c>
      <c r="K39" s="5">
        <f t="shared" si="9"/>
        <v>547.04000000000144</v>
      </c>
    </row>
    <row r="40" spans="1:11" x14ac:dyDescent="0.25">
      <c r="A40" s="1" t="s">
        <v>382</v>
      </c>
      <c r="B40" s="1">
        <v>5000234148</v>
      </c>
      <c r="C40" s="1">
        <v>114</v>
      </c>
      <c r="D40" s="1">
        <v>105</v>
      </c>
      <c r="E40" s="1" t="s">
        <v>81</v>
      </c>
      <c r="F40" s="1" t="s">
        <v>383</v>
      </c>
      <c r="G40" s="2">
        <v>11440</v>
      </c>
      <c r="H40" s="1">
        <v>41.3</v>
      </c>
      <c r="I40" s="5">
        <v>43.38</v>
      </c>
      <c r="J40" s="1">
        <f t="shared" si="8"/>
        <v>2.0800000000000054</v>
      </c>
      <c r="K40" s="5">
        <f t="shared" si="9"/>
        <v>183.04000000000048</v>
      </c>
    </row>
    <row r="41" spans="1:11" x14ac:dyDescent="0.25">
      <c r="A41" s="1" t="s">
        <v>382</v>
      </c>
      <c r="B41" s="1">
        <v>5000234148</v>
      </c>
      <c r="C41" s="1">
        <v>114</v>
      </c>
      <c r="D41" s="1">
        <v>105</v>
      </c>
      <c r="E41" s="1" t="s">
        <v>81</v>
      </c>
      <c r="F41" s="1" t="s">
        <v>383</v>
      </c>
      <c r="G41" s="2">
        <v>13000</v>
      </c>
      <c r="H41" s="1">
        <v>41.3</v>
      </c>
      <c r="I41" s="5">
        <v>43.38</v>
      </c>
      <c r="J41" s="1">
        <f t="shared" si="8"/>
        <v>2.0800000000000054</v>
      </c>
      <c r="K41" s="5">
        <f t="shared" si="9"/>
        <v>208.00000000000054</v>
      </c>
    </row>
    <row r="42" spans="1:11" x14ac:dyDescent="0.25">
      <c r="A42" s="1" t="s">
        <v>382</v>
      </c>
      <c r="B42" s="1">
        <v>5000234148</v>
      </c>
      <c r="C42" s="1">
        <v>114</v>
      </c>
      <c r="D42" s="1">
        <v>105</v>
      </c>
      <c r="E42" s="1" t="s">
        <v>81</v>
      </c>
      <c r="F42" s="1" t="s">
        <v>383</v>
      </c>
      <c r="G42" s="2">
        <v>13000</v>
      </c>
      <c r="H42" s="1">
        <v>41.3</v>
      </c>
      <c r="I42" s="5">
        <v>43.38</v>
      </c>
      <c r="J42" s="1">
        <f t="shared" si="8"/>
        <v>2.0800000000000054</v>
      </c>
      <c r="K42" s="5">
        <f t="shared" si="9"/>
        <v>208.00000000000054</v>
      </c>
    </row>
    <row r="43" spans="1:11" x14ac:dyDescent="0.25">
      <c r="A43" s="1" t="s">
        <v>384</v>
      </c>
      <c r="B43" s="1">
        <v>5000230957</v>
      </c>
      <c r="C43" s="1">
        <v>114</v>
      </c>
      <c r="D43" s="1">
        <v>105</v>
      </c>
      <c r="E43" s="1" t="s">
        <v>81</v>
      </c>
      <c r="F43" s="1" t="s">
        <v>385</v>
      </c>
      <c r="G43" s="2">
        <v>62400</v>
      </c>
      <c r="H43" s="1">
        <v>41.3</v>
      </c>
      <c r="I43" s="5">
        <v>43.38</v>
      </c>
      <c r="J43" s="1">
        <f t="shared" si="8"/>
        <v>2.0800000000000054</v>
      </c>
      <c r="K43" s="5">
        <f t="shared" si="9"/>
        <v>998.40000000000259</v>
      </c>
    </row>
    <row r="44" spans="1:11" x14ac:dyDescent="0.25">
      <c r="A44" s="1" t="s">
        <v>382</v>
      </c>
      <c r="B44" s="1">
        <v>5000234148</v>
      </c>
      <c r="C44" s="1">
        <v>114</v>
      </c>
      <c r="D44" s="1">
        <v>105</v>
      </c>
      <c r="E44" s="1" t="s">
        <v>112</v>
      </c>
      <c r="F44" s="1" t="s">
        <v>383</v>
      </c>
      <c r="G44" s="1">
        <v>975</v>
      </c>
      <c r="H44" s="1">
        <v>134.5</v>
      </c>
      <c r="I44" s="5">
        <v>139.41999999999999</v>
      </c>
      <c r="J44" s="1">
        <f t="shared" si="8"/>
        <v>4.9199999999999875</v>
      </c>
      <c r="K44" s="5">
        <f>G44*J44/325</f>
        <v>14.759999999999964</v>
      </c>
    </row>
    <row r="45" spans="1:11" x14ac:dyDescent="0.25">
      <c r="A45" s="1" t="s">
        <v>382</v>
      </c>
      <c r="B45" s="1">
        <v>5000234148</v>
      </c>
      <c r="C45" s="1">
        <v>114</v>
      </c>
      <c r="D45" s="1">
        <v>105</v>
      </c>
      <c r="E45" s="1" t="s">
        <v>112</v>
      </c>
      <c r="F45" s="1" t="s">
        <v>383</v>
      </c>
      <c r="G45" s="2">
        <v>33150</v>
      </c>
      <c r="H45" s="1">
        <v>134.5</v>
      </c>
      <c r="I45" s="5">
        <v>139.41999999999999</v>
      </c>
      <c r="J45" s="1">
        <f t="shared" si="8"/>
        <v>4.9199999999999875</v>
      </c>
      <c r="K45" s="5">
        <f>G45*J45/325</f>
        <v>501.83999999999872</v>
      </c>
    </row>
    <row r="46" spans="1:11" x14ac:dyDescent="0.25">
      <c r="A46" s="1" t="s">
        <v>382</v>
      </c>
      <c r="B46" s="1">
        <v>5000234148</v>
      </c>
      <c r="C46" s="1">
        <v>114</v>
      </c>
      <c r="D46" s="1">
        <v>105</v>
      </c>
      <c r="E46" s="1" t="s">
        <v>112</v>
      </c>
      <c r="F46" s="1" t="s">
        <v>383</v>
      </c>
      <c r="G46" s="2">
        <v>33150</v>
      </c>
      <c r="H46" s="1">
        <v>134.5</v>
      </c>
      <c r="I46" s="5">
        <v>139.41999999999999</v>
      </c>
      <c r="J46" s="1">
        <f t="shared" si="8"/>
        <v>4.9199999999999875</v>
      </c>
      <c r="K46" s="5">
        <f>G46*J46/325</f>
        <v>501.83999999999872</v>
      </c>
    </row>
    <row r="47" spans="1:11" x14ac:dyDescent="0.25">
      <c r="A47" s="1" t="s">
        <v>380</v>
      </c>
      <c r="B47" s="1">
        <v>5000232595</v>
      </c>
      <c r="C47" s="1">
        <v>114</v>
      </c>
      <c r="D47" s="1">
        <v>105</v>
      </c>
      <c r="E47" s="1" t="s">
        <v>112</v>
      </c>
      <c r="F47" s="1" t="s">
        <v>381</v>
      </c>
      <c r="G47" s="2">
        <v>49400</v>
      </c>
      <c r="H47" s="1">
        <v>134.5</v>
      </c>
      <c r="I47" s="5">
        <v>139.41999999999999</v>
      </c>
      <c r="J47" s="1">
        <f t="shared" si="8"/>
        <v>4.9199999999999875</v>
      </c>
      <c r="K47" s="5">
        <f>G47*J47/325</f>
        <v>747.8399999999981</v>
      </c>
    </row>
    <row r="48" spans="1:11" x14ac:dyDescent="0.25">
      <c r="A48" s="1" t="s">
        <v>380</v>
      </c>
      <c r="B48" s="1">
        <v>5000232595</v>
      </c>
      <c r="C48" s="1">
        <v>114</v>
      </c>
      <c r="D48" s="1">
        <v>105</v>
      </c>
      <c r="E48" s="1" t="s">
        <v>82</v>
      </c>
      <c r="F48" s="1" t="s">
        <v>381</v>
      </c>
      <c r="G48" s="2">
        <v>13000</v>
      </c>
      <c r="H48" s="1">
        <v>41.3</v>
      </c>
      <c r="I48" s="5">
        <v>43.38</v>
      </c>
      <c r="J48" s="1">
        <f t="shared" ref="J48:J67" si="10">I48-H48</f>
        <v>2.0800000000000054</v>
      </c>
      <c r="K48" s="5">
        <f>G48*J48/130</f>
        <v>208.00000000000054</v>
      </c>
    </row>
    <row r="49" spans="1:11" x14ac:dyDescent="0.25">
      <c r="A49" s="1" t="s">
        <v>386</v>
      </c>
      <c r="B49" s="1">
        <v>5000236521</v>
      </c>
      <c r="C49" s="1">
        <v>114</v>
      </c>
      <c r="D49" s="1">
        <v>105</v>
      </c>
      <c r="E49" s="1" t="s">
        <v>111</v>
      </c>
      <c r="F49" s="1" t="s">
        <v>379</v>
      </c>
      <c r="G49" s="2">
        <v>7090</v>
      </c>
      <c r="H49" s="1">
        <v>132.5</v>
      </c>
      <c r="I49" s="5">
        <v>139.41999999999999</v>
      </c>
      <c r="J49" s="1">
        <f t="shared" si="10"/>
        <v>6.9199999999999875</v>
      </c>
      <c r="K49" s="5">
        <f>G49*J49/325</f>
        <v>150.96246153846127</v>
      </c>
    </row>
    <row r="50" spans="1:11" x14ac:dyDescent="0.25">
      <c r="A50" s="1" t="s">
        <v>386</v>
      </c>
      <c r="B50" s="1">
        <v>5000236521</v>
      </c>
      <c r="C50" s="1">
        <v>114</v>
      </c>
      <c r="D50" s="1">
        <v>105</v>
      </c>
      <c r="E50" s="1" t="s">
        <v>111</v>
      </c>
      <c r="F50" s="1" t="s">
        <v>379</v>
      </c>
      <c r="G50" s="2">
        <v>1025</v>
      </c>
      <c r="H50" s="1">
        <v>132.5</v>
      </c>
      <c r="I50" s="5">
        <v>139.41999999999999</v>
      </c>
      <c r="J50" s="1">
        <f t="shared" si="10"/>
        <v>6.9199999999999875</v>
      </c>
      <c r="K50" s="5">
        <f>G50*J50/325</f>
        <v>21.824615384615345</v>
      </c>
    </row>
    <row r="51" spans="1:11" x14ac:dyDescent="0.25">
      <c r="A51" s="1" t="s">
        <v>386</v>
      </c>
      <c r="B51" s="1">
        <v>5000236521</v>
      </c>
      <c r="C51" s="1">
        <v>114</v>
      </c>
      <c r="D51" s="1">
        <v>105</v>
      </c>
      <c r="E51" s="1" t="s">
        <v>111</v>
      </c>
      <c r="F51" s="1" t="s">
        <v>379</v>
      </c>
      <c r="G51" s="2">
        <v>4335</v>
      </c>
      <c r="H51" s="1">
        <v>132.5</v>
      </c>
      <c r="I51" s="5">
        <v>139.41999999999999</v>
      </c>
      <c r="J51" s="1">
        <f t="shared" si="10"/>
        <v>6.9199999999999875</v>
      </c>
      <c r="K51" s="5">
        <f>G51*J51/325</f>
        <v>92.302153846153686</v>
      </c>
    </row>
    <row r="52" spans="1:11" x14ac:dyDescent="0.25">
      <c r="A52" s="1" t="s">
        <v>386</v>
      </c>
      <c r="B52" s="1">
        <v>5000236521</v>
      </c>
      <c r="C52" s="1">
        <v>114</v>
      </c>
      <c r="D52" s="1">
        <v>105</v>
      </c>
      <c r="E52" s="1" t="s">
        <v>111</v>
      </c>
      <c r="F52" s="1" t="s">
        <v>379</v>
      </c>
      <c r="G52" s="2">
        <v>24925</v>
      </c>
      <c r="H52" s="1">
        <v>132.5</v>
      </c>
      <c r="I52" s="5">
        <v>139.41999999999999</v>
      </c>
      <c r="J52" s="1">
        <f t="shared" si="10"/>
        <v>6.9199999999999875</v>
      </c>
      <c r="K52" s="5">
        <f>G52*J52/325</f>
        <v>530.71076923076828</v>
      </c>
    </row>
    <row r="53" spans="1:11" x14ac:dyDescent="0.25">
      <c r="A53" s="1" t="s">
        <v>380</v>
      </c>
      <c r="B53" s="1">
        <v>5000232595</v>
      </c>
      <c r="C53" s="1">
        <v>114</v>
      </c>
      <c r="D53" s="1">
        <v>105</v>
      </c>
      <c r="E53" s="1" t="s">
        <v>111</v>
      </c>
      <c r="F53" s="1" t="s">
        <v>381</v>
      </c>
      <c r="G53" s="2">
        <v>75075</v>
      </c>
      <c r="H53" s="1">
        <v>132.5</v>
      </c>
      <c r="I53" s="5">
        <v>139.41999999999999</v>
      </c>
      <c r="J53" s="1">
        <f t="shared" si="10"/>
        <v>6.9199999999999875</v>
      </c>
      <c r="K53" s="5">
        <f>G53*J53/325</f>
        <v>1598.519999999997</v>
      </c>
    </row>
    <row r="54" spans="1:11" x14ac:dyDescent="0.25">
      <c r="A54" s="1" t="s">
        <v>380</v>
      </c>
      <c r="B54" s="1">
        <v>5000232595</v>
      </c>
      <c r="C54" s="1">
        <v>114</v>
      </c>
      <c r="D54" s="1">
        <v>105</v>
      </c>
      <c r="E54" s="1" t="s">
        <v>193</v>
      </c>
      <c r="F54" s="1" t="s">
        <v>381</v>
      </c>
      <c r="G54" s="2">
        <v>13390</v>
      </c>
      <c r="H54" s="1">
        <v>41.3</v>
      </c>
      <c r="I54" s="5">
        <v>43.38</v>
      </c>
      <c r="J54" s="1">
        <f t="shared" si="10"/>
        <v>2.0800000000000054</v>
      </c>
      <c r="K54" s="5">
        <f>G54*J54/130</f>
        <v>214.24000000000058</v>
      </c>
    </row>
    <row r="55" spans="1:11" x14ac:dyDescent="0.25">
      <c r="A55" s="1" t="s">
        <v>376</v>
      </c>
      <c r="B55" s="1">
        <v>5000237541</v>
      </c>
      <c r="C55" s="1">
        <v>114</v>
      </c>
      <c r="D55" s="1">
        <v>105</v>
      </c>
      <c r="E55" s="1" t="s">
        <v>83</v>
      </c>
      <c r="F55" s="1" t="s">
        <v>383</v>
      </c>
      <c r="G55" s="2">
        <v>39620</v>
      </c>
      <c r="H55" s="1">
        <v>134.5</v>
      </c>
      <c r="I55" s="5">
        <v>139.41999999999999</v>
      </c>
      <c r="J55" s="1">
        <f t="shared" si="10"/>
        <v>4.9199999999999875</v>
      </c>
      <c r="K55" s="5">
        <f t="shared" ref="K55:K76" si="11">G55*J55/325</f>
        <v>599.78584615384466</v>
      </c>
    </row>
    <row r="56" spans="1:11" x14ac:dyDescent="0.25">
      <c r="A56" s="1" t="s">
        <v>376</v>
      </c>
      <c r="B56" s="1">
        <v>5000237541</v>
      </c>
      <c r="C56" s="1">
        <v>114</v>
      </c>
      <c r="D56" s="1">
        <v>105</v>
      </c>
      <c r="E56" s="1" t="s">
        <v>83</v>
      </c>
      <c r="F56" s="1" t="s">
        <v>383</v>
      </c>
      <c r="G56" s="2">
        <v>238700</v>
      </c>
      <c r="H56" s="1">
        <v>134.5</v>
      </c>
      <c r="I56" s="5">
        <v>139.41999999999999</v>
      </c>
      <c r="J56" s="1">
        <f t="shared" si="10"/>
        <v>4.9199999999999875</v>
      </c>
      <c r="K56" s="5">
        <f t="shared" si="11"/>
        <v>3613.5507692307601</v>
      </c>
    </row>
    <row r="57" spans="1:11" x14ac:dyDescent="0.25">
      <c r="A57" s="1" t="s">
        <v>376</v>
      </c>
      <c r="B57" s="1">
        <v>5000237541</v>
      </c>
      <c r="C57" s="1">
        <v>114</v>
      </c>
      <c r="D57" s="1">
        <v>105</v>
      </c>
      <c r="E57" s="1" t="s">
        <v>83</v>
      </c>
      <c r="F57" s="1" t="s">
        <v>383</v>
      </c>
      <c r="G57" s="2">
        <v>37580</v>
      </c>
      <c r="H57" s="1">
        <v>134.5</v>
      </c>
      <c r="I57" s="5">
        <v>139.41999999999999</v>
      </c>
      <c r="J57" s="1">
        <f t="shared" si="10"/>
        <v>4.9199999999999875</v>
      </c>
      <c r="K57" s="5">
        <f t="shared" si="11"/>
        <v>568.90338461538317</v>
      </c>
    </row>
    <row r="58" spans="1:11" x14ac:dyDescent="0.25">
      <c r="A58" s="1" t="s">
        <v>382</v>
      </c>
      <c r="B58" s="1">
        <v>5000234148</v>
      </c>
      <c r="C58" s="1">
        <v>114</v>
      </c>
      <c r="D58" s="1">
        <v>105</v>
      </c>
      <c r="E58" s="1" t="s">
        <v>83</v>
      </c>
      <c r="F58" s="1" t="s">
        <v>383</v>
      </c>
      <c r="G58" s="2">
        <v>83350</v>
      </c>
      <c r="H58" s="1">
        <v>134.5</v>
      </c>
      <c r="I58" s="5">
        <v>139.41999999999999</v>
      </c>
      <c r="J58" s="1">
        <f t="shared" si="10"/>
        <v>4.9199999999999875</v>
      </c>
      <c r="K58" s="5">
        <f t="shared" si="11"/>
        <v>1261.790769230766</v>
      </c>
    </row>
    <row r="59" spans="1:11" x14ac:dyDescent="0.25">
      <c r="A59" s="1" t="s">
        <v>382</v>
      </c>
      <c r="B59" s="1">
        <v>5000234148</v>
      </c>
      <c r="C59" s="1">
        <v>114</v>
      </c>
      <c r="D59" s="1">
        <v>105</v>
      </c>
      <c r="E59" s="1" t="s">
        <v>83</v>
      </c>
      <c r="F59" s="1" t="s">
        <v>383</v>
      </c>
      <c r="G59" s="2">
        <v>24625</v>
      </c>
      <c r="H59" s="1">
        <v>134.5</v>
      </c>
      <c r="I59" s="5">
        <v>139.41999999999999</v>
      </c>
      <c r="J59" s="1">
        <f t="shared" si="10"/>
        <v>4.9199999999999875</v>
      </c>
      <c r="K59" s="5">
        <f t="shared" si="11"/>
        <v>372.78461538461443</v>
      </c>
    </row>
    <row r="60" spans="1:11" x14ac:dyDescent="0.25">
      <c r="A60" s="1" t="s">
        <v>382</v>
      </c>
      <c r="B60" s="1">
        <v>5000234148</v>
      </c>
      <c r="C60" s="1">
        <v>114</v>
      </c>
      <c r="D60" s="1">
        <v>105</v>
      </c>
      <c r="E60" s="1" t="s">
        <v>83</v>
      </c>
      <c r="F60" s="1" t="s">
        <v>383</v>
      </c>
      <c r="G60" s="2">
        <v>5250</v>
      </c>
      <c r="H60" s="1">
        <v>134.5</v>
      </c>
      <c r="I60" s="5">
        <v>139.41999999999999</v>
      </c>
      <c r="J60" s="1">
        <f t="shared" si="10"/>
        <v>4.9199999999999875</v>
      </c>
      <c r="K60" s="5">
        <f t="shared" si="11"/>
        <v>79.476923076922873</v>
      </c>
    </row>
    <row r="61" spans="1:11" x14ac:dyDescent="0.25">
      <c r="A61" s="1" t="s">
        <v>382</v>
      </c>
      <c r="B61" s="1">
        <v>5000234148</v>
      </c>
      <c r="C61" s="1">
        <v>114</v>
      </c>
      <c r="D61" s="1">
        <v>105</v>
      </c>
      <c r="E61" s="1" t="s">
        <v>83</v>
      </c>
      <c r="F61" s="1" t="s">
        <v>383</v>
      </c>
      <c r="G61" s="2">
        <v>5050</v>
      </c>
      <c r="H61" s="1">
        <v>134.5</v>
      </c>
      <c r="I61" s="5">
        <v>139.41999999999999</v>
      </c>
      <c r="J61" s="1">
        <f t="shared" si="10"/>
        <v>4.9199999999999875</v>
      </c>
      <c r="K61" s="5">
        <f t="shared" si="11"/>
        <v>76.449230769230581</v>
      </c>
    </row>
    <row r="62" spans="1:11" x14ac:dyDescent="0.25">
      <c r="A62" s="1" t="s">
        <v>382</v>
      </c>
      <c r="B62" s="1">
        <v>5000234148</v>
      </c>
      <c r="C62" s="1">
        <v>114</v>
      </c>
      <c r="D62" s="1">
        <v>105</v>
      </c>
      <c r="E62" s="1" t="s">
        <v>83</v>
      </c>
      <c r="F62" s="1" t="s">
        <v>383</v>
      </c>
      <c r="G62" s="2">
        <v>3440</v>
      </c>
      <c r="H62" s="1">
        <v>134.5</v>
      </c>
      <c r="I62" s="5">
        <v>139.41999999999999</v>
      </c>
      <c r="J62" s="1">
        <f t="shared" si="10"/>
        <v>4.9199999999999875</v>
      </c>
      <c r="K62" s="5">
        <f t="shared" si="11"/>
        <v>52.076307692307559</v>
      </c>
    </row>
    <row r="63" spans="1:11" x14ac:dyDescent="0.25">
      <c r="A63" s="1" t="s">
        <v>382</v>
      </c>
      <c r="B63" s="1">
        <v>5000234148</v>
      </c>
      <c r="C63" s="1">
        <v>114</v>
      </c>
      <c r="D63" s="1">
        <v>105</v>
      </c>
      <c r="E63" s="1" t="s">
        <v>83</v>
      </c>
      <c r="F63" s="1" t="s">
        <v>383</v>
      </c>
      <c r="G63" s="2">
        <v>16645</v>
      </c>
      <c r="H63" s="1">
        <v>134.5</v>
      </c>
      <c r="I63" s="5">
        <v>139.41999999999999</v>
      </c>
      <c r="J63" s="1">
        <f t="shared" si="10"/>
        <v>4.9199999999999875</v>
      </c>
      <c r="K63" s="5">
        <f t="shared" si="11"/>
        <v>251.97969230769166</v>
      </c>
    </row>
    <row r="64" spans="1:11" x14ac:dyDescent="0.25">
      <c r="A64" s="1" t="s">
        <v>382</v>
      </c>
      <c r="B64" s="1">
        <v>5000234148</v>
      </c>
      <c r="C64" s="1">
        <v>114</v>
      </c>
      <c r="D64" s="1">
        <v>105</v>
      </c>
      <c r="E64" s="1" t="s">
        <v>83</v>
      </c>
      <c r="F64" s="1" t="s">
        <v>383</v>
      </c>
      <c r="G64" s="2">
        <v>19590</v>
      </c>
      <c r="H64" s="1">
        <v>134.5</v>
      </c>
      <c r="I64" s="5">
        <v>139.41999999999999</v>
      </c>
      <c r="J64" s="1">
        <f t="shared" si="10"/>
        <v>4.9199999999999875</v>
      </c>
      <c r="K64" s="5">
        <f t="shared" si="11"/>
        <v>296.56246153846081</v>
      </c>
    </row>
    <row r="65" spans="1:11" x14ac:dyDescent="0.25">
      <c r="A65" s="1" t="s">
        <v>380</v>
      </c>
      <c r="B65" s="1">
        <v>5000232595</v>
      </c>
      <c r="C65" s="1">
        <v>114</v>
      </c>
      <c r="D65" s="1">
        <v>105</v>
      </c>
      <c r="E65" s="1" t="s">
        <v>83</v>
      </c>
      <c r="F65" s="1" t="s">
        <v>381</v>
      </c>
      <c r="G65" s="2">
        <v>29900</v>
      </c>
      <c r="H65" s="1">
        <v>134.5</v>
      </c>
      <c r="I65" s="5">
        <v>139.41999999999999</v>
      </c>
      <c r="J65" s="1">
        <f t="shared" si="10"/>
        <v>4.9199999999999875</v>
      </c>
      <c r="K65" s="5">
        <f t="shared" si="11"/>
        <v>452.63999999999885</v>
      </c>
    </row>
    <row r="66" spans="1:11" x14ac:dyDescent="0.25">
      <c r="A66" s="1" t="s">
        <v>387</v>
      </c>
      <c r="B66" s="1">
        <v>5000231417</v>
      </c>
      <c r="C66" s="1">
        <v>114</v>
      </c>
      <c r="D66" s="1">
        <v>105</v>
      </c>
      <c r="E66" s="1" t="s">
        <v>83</v>
      </c>
      <c r="F66" s="1" t="s">
        <v>388</v>
      </c>
      <c r="G66" s="2">
        <v>49725</v>
      </c>
      <c r="H66" s="1">
        <v>134.5</v>
      </c>
      <c r="I66" s="5">
        <v>139.41999999999999</v>
      </c>
      <c r="J66" s="1">
        <f t="shared" si="10"/>
        <v>4.9199999999999875</v>
      </c>
      <c r="K66" s="5">
        <f t="shared" si="11"/>
        <v>752.75999999999817</v>
      </c>
    </row>
    <row r="67" spans="1:11" x14ac:dyDescent="0.25">
      <c r="A67" s="1" t="s">
        <v>384</v>
      </c>
      <c r="B67" s="1">
        <v>5000230957</v>
      </c>
      <c r="C67" s="1">
        <v>114</v>
      </c>
      <c r="D67" s="1">
        <v>105</v>
      </c>
      <c r="E67" s="1" t="s">
        <v>83</v>
      </c>
      <c r="F67" s="1" t="s">
        <v>385</v>
      </c>
      <c r="G67" s="2">
        <v>140400</v>
      </c>
      <c r="H67" s="1">
        <v>134.5</v>
      </c>
      <c r="I67" s="5">
        <v>139.41999999999999</v>
      </c>
      <c r="J67" s="1">
        <f t="shared" si="10"/>
        <v>4.9199999999999875</v>
      </c>
      <c r="K67" s="5">
        <f t="shared" si="11"/>
        <v>2125.4399999999946</v>
      </c>
    </row>
    <row r="68" spans="1:11" x14ac:dyDescent="0.25">
      <c r="A68" s="1" t="s">
        <v>378</v>
      </c>
      <c r="B68" s="1">
        <v>5000235446</v>
      </c>
      <c r="C68" s="1">
        <v>114</v>
      </c>
      <c r="D68" s="1">
        <v>105</v>
      </c>
      <c r="E68" s="1" t="s">
        <v>194</v>
      </c>
      <c r="F68" s="1" t="s">
        <v>379</v>
      </c>
      <c r="G68" s="2">
        <v>11700</v>
      </c>
      <c r="H68" s="1">
        <v>132.5</v>
      </c>
      <c r="I68" s="5">
        <v>139.41999999999999</v>
      </c>
      <c r="J68" s="1">
        <f t="shared" ref="J68:J79" si="12">I68-H68</f>
        <v>6.9199999999999875</v>
      </c>
      <c r="K68" s="5">
        <f t="shared" si="11"/>
        <v>249.11999999999955</v>
      </c>
    </row>
    <row r="69" spans="1:11" x14ac:dyDescent="0.25">
      <c r="A69" s="1" t="s">
        <v>378</v>
      </c>
      <c r="B69" s="1">
        <v>5000235446</v>
      </c>
      <c r="C69" s="1">
        <v>114</v>
      </c>
      <c r="D69" s="1">
        <v>105</v>
      </c>
      <c r="E69" s="1" t="s">
        <v>194</v>
      </c>
      <c r="F69" s="1" t="s">
        <v>379</v>
      </c>
      <c r="G69" s="1">
        <v>520</v>
      </c>
      <c r="H69" s="1">
        <v>132.5</v>
      </c>
      <c r="I69" s="5">
        <v>139.41999999999999</v>
      </c>
      <c r="J69" s="1">
        <f t="shared" si="12"/>
        <v>6.9199999999999875</v>
      </c>
      <c r="K69" s="5">
        <f t="shared" si="11"/>
        <v>11.07199999999998</v>
      </c>
    </row>
    <row r="70" spans="1:11" x14ac:dyDescent="0.25">
      <c r="A70" s="1" t="s">
        <v>387</v>
      </c>
      <c r="B70" s="1">
        <v>5000231417</v>
      </c>
      <c r="C70" s="1">
        <v>114</v>
      </c>
      <c r="D70" s="1">
        <v>105</v>
      </c>
      <c r="E70" s="1" t="s">
        <v>84</v>
      </c>
      <c r="F70" s="1" t="s">
        <v>388</v>
      </c>
      <c r="G70" s="2">
        <v>170055</v>
      </c>
      <c r="H70" s="1">
        <v>134.5</v>
      </c>
      <c r="I70" s="5">
        <v>139.41999999999999</v>
      </c>
      <c r="J70" s="1">
        <f t="shared" si="12"/>
        <v>4.9199999999999875</v>
      </c>
      <c r="K70" s="5">
        <f t="shared" si="11"/>
        <v>2574.3710769230702</v>
      </c>
    </row>
    <row r="71" spans="1:11" x14ac:dyDescent="0.25">
      <c r="A71" s="1" t="s">
        <v>387</v>
      </c>
      <c r="B71" s="1">
        <v>5000231417</v>
      </c>
      <c r="C71" s="1">
        <v>114</v>
      </c>
      <c r="D71" s="1">
        <v>105</v>
      </c>
      <c r="E71" s="1" t="s">
        <v>84</v>
      </c>
      <c r="F71" s="1" t="s">
        <v>388</v>
      </c>
      <c r="G71" s="2">
        <v>11295</v>
      </c>
      <c r="H71" s="1">
        <v>134.5</v>
      </c>
      <c r="I71" s="5">
        <v>139.41999999999999</v>
      </c>
      <c r="J71" s="1">
        <f t="shared" si="12"/>
        <v>4.9199999999999875</v>
      </c>
      <c r="K71" s="5">
        <f t="shared" si="11"/>
        <v>170.98892307692265</v>
      </c>
    </row>
    <row r="72" spans="1:11" x14ac:dyDescent="0.25">
      <c r="A72" s="1" t="s">
        <v>380</v>
      </c>
      <c r="B72" s="1">
        <v>5000232595</v>
      </c>
      <c r="C72" s="1">
        <v>114</v>
      </c>
      <c r="D72" s="1">
        <v>105</v>
      </c>
      <c r="E72" s="1" t="s">
        <v>85</v>
      </c>
      <c r="F72" s="1" t="s">
        <v>381</v>
      </c>
      <c r="G72" s="2">
        <v>49190</v>
      </c>
      <c r="H72" s="1">
        <v>161.4</v>
      </c>
      <c r="I72" s="5">
        <v>167.54</v>
      </c>
      <c r="J72" s="1">
        <f t="shared" si="12"/>
        <v>6.1399999999999864</v>
      </c>
      <c r="K72" s="5">
        <f t="shared" si="11"/>
        <v>929.31261538461331</v>
      </c>
    </row>
    <row r="73" spans="1:11" x14ac:dyDescent="0.25">
      <c r="A73" s="1" t="s">
        <v>380</v>
      </c>
      <c r="B73" s="1">
        <v>5000232595</v>
      </c>
      <c r="C73" s="1">
        <v>114</v>
      </c>
      <c r="D73" s="1">
        <v>105</v>
      </c>
      <c r="E73" s="1" t="s">
        <v>85</v>
      </c>
      <c r="F73" s="1" t="s">
        <v>381</v>
      </c>
      <c r="G73" s="2">
        <v>20685</v>
      </c>
      <c r="H73" s="1">
        <v>161.4</v>
      </c>
      <c r="I73" s="5">
        <v>167.54</v>
      </c>
      <c r="J73" s="1">
        <f t="shared" si="12"/>
        <v>6.1399999999999864</v>
      </c>
      <c r="K73" s="5">
        <f t="shared" si="11"/>
        <v>390.78738461538376</v>
      </c>
    </row>
    <row r="74" spans="1:11" x14ac:dyDescent="0.25">
      <c r="A74" s="1" t="s">
        <v>380</v>
      </c>
      <c r="B74" s="1">
        <v>5000232595</v>
      </c>
      <c r="C74" s="1">
        <v>114</v>
      </c>
      <c r="D74" s="1">
        <v>105</v>
      </c>
      <c r="E74" s="1" t="s">
        <v>85</v>
      </c>
      <c r="F74" s="1" t="s">
        <v>381</v>
      </c>
      <c r="G74" s="2">
        <v>32500</v>
      </c>
      <c r="H74" s="1">
        <v>161.4</v>
      </c>
      <c r="I74" s="5">
        <v>167.54</v>
      </c>
      <c r="J74" s="1">
        <f t="shared" si="12"/>
        <v>6.1399999999999864</v>
      </c>
      <c r="K74" s="5">
        <f t="shared" si="11"/>
        <v>613.99999999999864</v>
      </c>
    </row>
    <row r="75" spans="1:11" x14ac:dyDescent="0.25">
      <c r="A75" s="1" t="s">
        <v>380</v>
      </c>
      <c r="B75" s="1">
        <v>5000232595</v>
      </c>
      <c r="C75" s="1">
        <v>114</v>
      </c>
      <c r="D75" s="1">
        <v>105</v>
      </c>
      <c r="E75" s="1" t="s">
        <v>110</v>
      </c>
      <c r="F75" s="1" t="s">
        <v>381</v>
      </c>
      <c r="G75" s="2">
        <v>33150</v>
      </c>
      <c r="H75" s="1">
        <v>161.4</v>
      </c>
      <c r="I75" s="5">
        <v>167.54</v>
      </c>
      <c r="J75" s="1">
        <f t="shared" si="12"/>
        <v>6.1399999999999864</v>
      </c>
      <c r="K75" s="5">
        <f t="shared" si="11"/>
        <v>626.27999999999861</v>
      </c>
    </row>
    <row r="76" spans="1:11" x14ac:dyDescent="0.25">
      <c r="A76" s="1" t="s">
        <v>386</v>
      </c>
      <c r="B76" s="1">
        <v>5000236521</v>
      </c>
      <c r="C76" s="1">
        <v>114</v>
      </c>
      <c r="D76" s="1">
        <v>105</v>
      </c>
      <c r="E76" s="1" t="s">
        <v>389</v>
      </c>
      <c r="F76" s="1" t="s">
        <v>379</v>
      </c>
      <c r="G76" s="2">
        <v>31525</v>
      </c>
      <c r="H76" s="1">
        <v>161.4</v>
      </c>
      <c r="I76" s="5">
        <v>167.54</v>
      </c>
      <c r="J76" s="1">
        <f t="shared" si="12"/>
        <v>6.1399999999999864</v>
      </c>
      <c r="K76" s="5">
        <f t="shared" si="11"/>
        <v>595.57999999999868</v>
      </c>
    </row>
    <row r="77" spans="1:11" x14ac:dyDescent="0.25">
      <c r="A77" s="1" t="s">
        <v>378</v>
      </c>
      <c r="B77" s="1">
        <v>5000235446</v>
      </c>
      <c r="C77" s="1">
        <v>114</v>
      </c>
      <c r="D77" s="1">
        <v>105</v>
      </c>
      <c r="E77" s="1" t="s">
        <v>109</v>
      </c>
      <c r="F77" s="1" t="s">
        <v>379</v>
      </c>
      <c r="G77" s="2">
        <v>13000</v>
      </c>
      <c r="H77" s="1">
        <v>41.3</v>
      </c>
      <c r="I77" s="5">
        <v>43.38</v>
      </c>
      <c r="J77" s="1">
        <f t="shared" si="12"/>
        <v>2.0800000000000054</v>
      </c>
      <c r="K77" s="5">
        <f>G77*J77/130</f>
        <v>208.00000000000054</v>
      </c>
    </row>
    <row r="78" spans="1:11" x14ac:dyDescent="0.25">
      <c r="A78" s="1" t="s">
        <v>384</v>
      </c>
      <c r="B78" s="1">
        <v>5000230957</v>
      </c>
      <c r="C78" s="1">
        <v>114</v>
      </c>
      <c r="D78" s="1">
        <v>105</v>
      </c>
      <c r="E78" s="1" t="s">
        <v>109</v>
      </c>
      <c r="F78" s="1" t="s">
        <v>385</v>
      </c>
      <c r="G78" s="2">
        <v>13000</v>
      </c>
      <c r="H78" s="1">
        <v>41.3</v>
      </c>
      <c r="I78" s="5">
        <v>43.38</v>
      </c>
      <c r="J78" s="1">
        <f t="shared" si="12"/>
        <v>2.0800000000000054</v>
      </c>
      <c r="K78" s="5">
        <f>G78*J78/130</f>
        <v>208.00000000000054</v>
      </c>
    </row>
    <row r="79" spans="1:11" x14ac:dyDescent="0.25">
      <c r="A79" s="1" t="s">
        <v>387</v>
      </c>
      <c r="B79" s="1">
        <v>5000231417</v>
      </c>
      <c r="C79" s="1">
        <v>114</v>
      </c>
      <c r="D79" s="1">
        <v>105</v>
      </c>
      <c r="E79" s="1" t="s">
        <v>125</v>
      </c>
      <c r="F79" s="1" t="s">
        <v>388</v>
      </c>
      <c r="G79" s="2">
        <v>12870</v>
      </c>
      <c r="H79" s="1">
        <v>41.3</v>
      </c>
      <c r="I79" s="5">
        <v>43.38</v>
      </c>
      <c r="J79" s="1">
        <f t="shared" si="12"/>
        <v>2.0800000000000054</v>
      </c>
      <c r="K79" s="5">
        <f>G79*J79/130</f>
        <v>205.92000000000056</v>
      </c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3" x14ac:dyDescent="0.25">
      <c r="A81" s="1"/>
      <c r="B81" s="1"/>
      <c r="C81" s="1"/>
      <c r="D81" s="1"/>
      <c r="E81" s="1"/>
      <c r="F81" s="1"/>
      <c r="G81" s="1">
        <f>SUM(G36:G79)</f>
        <v>1505660</v>
      </c>
      <c r="H81" s="1"/>
      <c r="I81" s="1"/>
      <c r="J81" s="1"/>
      <c r="K81" s="5">
        <f>SUM(K36:K79)</f>
        <v>24378.951999999961</v>
      </c>
    </row>
    <row r="84" spans="1:13" x14ac:dyDescent="0.25">
      <c r="A84" s="5" t="s">
        <v>275</v>
      </c>
    </row>
    <row r="86" spans="1:13" x14ac:dyDescent="0.25">
      <c r="A86" s="1" t="s">
        <v>172</v>
      </c>
      <c r="B86" s="1" t="s">
        <v>168</v>
      </c>
      <c r="C86" s="1" t="s">
        <v>167</v>
      </c>
      <c r="D86" s="1"/>
      <c r="E86" s="1" t="s">
        <v>169</v>
      </c>
      <c r="F86" s="1"/>
      <c r="G86" s="1" t="s">
        <v>22</v>
      </c>
      <c r="H86" s="1" t="s">
        <v>24</v>
      </c>
      <c r="I86" s="1" t="s">
        <v>276</v>
      </c>
      <c r="J86" s="1" t="s">
        <v>170</v>
      </c>
      <c r="K86" s="1" t="s">
        <v>52</v>
      </c>
      <c r="L86" s="1" t="s">
        <v>21</v>
      </c>
      <c r="M86" s="113"/>
    </row>
    <row r="87" spans="1:13" x14ac:dyDescent="0.25">
      <c r="A87" s="1" t="s">
        <v>376</v>
      </c>
      <c r="B87" s="1">
        <v>114</v>
      </c>
      <c r="C87" s="1">
        <v>5000237548</v>
      </c>
      <c r="D87" s="1">
        <v>105</v>
      </c>
      <c r="E87" s="1" t="s">
        <v>88</v>
      </c>
      <c r="F87" s="1" t="s">
        <v>391</v>
      </c>
      <c r="G87" s="1">
        <v>30.77</v>
      </c>
      <c r="H87" s="1" t="s">
        <v>392</v>
      </c>
      <c r="I87" s="1">
        <v>72.5</v>
      </c>
      <c r="J87" s="1">
        <v>75.05</v>
      </c>
      <c r="K87" s="1">
        <f>J87-I87</f>
        <v>2.5499999999999972</v>
      </c>
      <c r="L87" s="1">
        <f>K87*G87</f>
        <v>78.463499999999911</v>
      </c>
    </row>
    <row r="88" spans="1:13" x14ac:dyDescent="0.25">
      <c r="A88" s="1" t="s">
        <v>376</v>
      </c>
      <c r="B88" s="1">
        <v>114</v>
      </c>
      <c r="C88" s="1">
        <v>5000237548</v>
      </c>
      <c r="D88" s="1">
        <v>105</v>
      </c>
      <c r="E88" s="1" t="s">
        <v>88</v>
      </c>
      <c r="F88" s="1" t="s">
        <v>391</v>
      </c>
      <c r="G88" s="1">
        <v>540</v>
      </c>
      <c r="H88" s="1" t="s">
        <v>392</v>
      </c>
      <c r="I88" s="1">
        <v>72.5</v>
      </c>
      <c r="J88" s="1">
        <v>75.05</v>
      </c>
      <c r="K88" s="1">
        <f t="shared" ref="K88:K96" si="13">J88-I88</f>
        <v>2.5499999999999972</v>
      </c>
      <c r="L88" s="1">
        <f t="shared" ref="L88:L96" si="14">K88*G88</f>
        <v>1376.9999999999984</v>
      </c>
    </row>
    <row r="89" spans="1:13" x14ac:dyDescent="0.25">
      <c r="A89" s="1" t="s">
        <v>393</v>
      </c>
      <c r="B89" s="1">
        <v>114</v>
      </c>
      <c r="C89" s="1">
        <v>5000236166</v>
      </c>
      <c r="D89" s="1">
        <v>105</v>
      </c>
      <c r="E89" s="1" t="s">
        <v>88</v>
      </c>
      <c r="F89" s="1" t="s">
        <v>394</v>
      </c>
      <c r="G89" s="1">
        <v>141.38</v>
      </c>
      <c r="H89" s="1" t="s">
        <v>392</v>
      </c>
      <c r="I89" s="1">
        <v>72.5</v>
      </c>
      <c r="J89" s="1">
        <v>75.05</v>
      </c>
      <c r="K89" s="1">
        <f t="shared" si="13"/>
        <v>2.5499999999999972</v>
      </c>
      <c r="L89" s="1">
        <f t="shared" si="14"/>
        <v>360.51899999999961</v>
      </c>
    </row>
    <row r="90" spans="1:13" x14ac:dyDescent="0.25">
      <c r="A90" s="1" t="s">
        <v>393</v>
      </c>
      <c r="B90" s="1">
        <v>114</v>
      </c>
      <c r="C90" s="1">
        <v>5000236166</v>
      </c>
      <c r="D90" s="1">
        <v>105</v>
      </c>
      <c r="E90" s="1" t="s">
        <v>88</v>
      </c>
      <c r="F90" s="1" t="s">
        <v>394</v>
      </c>
      <c r="G90" s="2">
        <v>1002</v>
      </c>
      <c r="H90" s="1" t="s">
        <v>392</v>
      </c>
      <c r="I90" s="1">
        <v>72.5</v>
      </c>
      <c r="J90" s="1">
        <v>75.05</v>
      </c>
      <c r="K90" s="1">
        <f t="shared" si="13"/>
        <v>2.5499999999999972</v>
      </c>
      <c r="L90" s="1">
        <f t="shared" si="14"/>
        <v>2555.0999999999972</v>
      </c>
    </row>
    <row r="91" spans="1:13" x14ac:dyDescent="0.25">
      <c r="A91" s="1" t="s">
        <v>395</v>
      </c>
      <c r="B91" s="1">
        <v>114</v>
      </c>
      <c r="C91" s="1">
        <v>5000234167</v>
      </c>
      <c r="D91" s="1">
        <v>105</v>
      </c>
      <c r="E91" s="1" t="s">
        <v>88</v>
      </c>
      <c r="F91" s="1" t="s">
        <v>383</v>
      </c>
      <c r="G91" s="1">
        <v>677.87</v>
      </c>
      <c r="H91" s="1" t="s">
        <v>392</v>
      </c>
      <c r="I91" s="1">
        <v>72.5</v>
      </c>
      <c r="J91" s="1">
        <v>75.05</v>
      </c>
      <c r="K91" s="1">
        <f t="shared" si="13"/>
        <v>2.5499999999999972</v>
      </c>
      <c r="L91" s="1">
        <f t="shared" si="14"/>
        <v>1728.568499999998</v>
      </c>
    </row>
    <row r="92" spans="1:13" x14ac:dyDescent="0.25">
      <c r="A92" s="1" t="s">
        <v>376</v>
      </c>
      <c r="B92" s="1">
        <v>114</v>
      </c>
      <c r="C92" s="1">
        <v>5000237548</v>
      </c>
      <c r="D92" s="1">
        <v>105</v>
      </c>
      <c r="E92" s="1" t="s">
        <v>108</v>
      </c>
      <c r="F92" s="1" t="s">
        <v>391</v>
      </c>
      <c r="G92" s="3">
        <v>1534.97</v>
      </c>
      <c r="H92" s="1" t="s">
        <v>392</v>
      </c>
      <c r="I92" s="1">
        <v>72.5</v>
      </c>
      <c r="J92" s="1">
        <v>75.05</v>
      </c>
      <c r="K92" s="1">
        <f t="shared" si="13"/>
        <v>2.5499999999999972</v>
      </c>
      <c r="L92" s="1">
        <f t="shared" si="14"/>
        <v>3914.1734999999958</v>
      </c>
    </row>
    <row r="93" spans="1:13" x14ac:dyDescent="0.25">
      <c r="A93" s="1" t="s">
        <v>395</v>
      </c>
      <c r="B93" s="1">
        <v>114</v>
      </c>
      <c r="C93" s="1">
        <v>5000234167</v>
      </c>
      <c r="D93" s="1">
        <v>105</v>
      </c>
      <c r="E93" s="1" t="s">
        <v>108</v>
      </c>
      <c r="F93" s="1" t="s">
        <v>383</v>
      </c>
      <c r="G93" s="3">
        <v>2023.69</v>
      </c>
      <c r="H93" s="1" t="s">
        <v>392</v>
      </c>
      <c r="I93" s="1">
        <v>72.5</v>
      </c>
      <c r="J93" s="1">
        <v>75.05</v>
      </c>
      <c r="K93" s="1">
        <f t="shared" si="13"/>
        <v>2.5499999999999972</v>
      </c>
      <c r="L93" s="1">
        <f t="shared" si="14"/>
        <v>5160.4094999999943</v>
      </c>
    </row>
    <row r="94" spans="1:13" x14ac:dyDescent="0.25">
      <c r="A94" s="1" t="s">
        <v>373</v>
      </c>
      <c r="B94" s="1">
        <v>114</v>
      </c>
      <c r="C94" s="1">
        <v>5000231178</v>
      </c>
      <c r="D94" s="1">
        <v>105</v>
      </c>
      <c r="E94" s="1" t="s">
        <v>89</v>
      </c>
      <c r="F94" s="1" t="s">
        <v>396</v>
      </c>
      <c r="G94" s="3">
        <v>1553.53</v>
      </c>
      <c r="H94" s="1" t="s">
        <v>392</v>
      </c>
      <c r="I94" s="1">
        <v>72.5</v>
      </c>
      <c r="J94" s="1">
        <v>75.05</v>
      </c>
      <c r="K94" s="1">
        <f t="shared" si="13"/>
        <v>2.5499999999999972</v>
      </c>
      <c r="L94" s="1">
        <f t="shared" si="14"/>
        <v>3961.5014999999953</v>
      </c>
    </row>
    <row r="95" spans="1:13" x14ac:dyDescent="0.25">
      <c r="A95" s="1" t="s">
        <v>384</v>
      </c>
      <c r="B95" s="1">
        <v>114</v>
      </c>
      <c r="C95" s="1">
        <v>5000230953</v>
      </c>
      <c r="D95" s="1">
        <v>105</v>
      </c>
      <c r="E95" s="1" t="s">
        <v>89</v>
      </c>
      <c r="F95" s="1" t="s">
        <v>397</v>
      </c>
      <c r="G95" s="3">
        <v>1686.95</v>
      </c>
      <c r="H95" s="1" t="s">
        <v>392</v>
      </c>
      <c r="I95" s="1">
        <v>72.5</v>
      </c>
      <c r="J95" s="1">
        <v>75.05</v>
      </c>
      <c r="K95" s="1">
        <f t="shared" si="13"/>
        <v>2.5499999999999972</v>
      </c>
      <c r="L95" s="1">
        <f t="shared" si="14"/>
        <v>4301.7224999999953</v>
      </c>
    </row>
    <row r="96" spans="1:13" x14ac:dyDescent="0.25">
      <c r="A96" s="1" t="s">
        <v>384</v>
      </c>
      <c r="B96" s="1">
        <v>114</v>
      </c>
      <c r="C96" s="1">
        <v>5000230953</v>
      </c>
      <c r="D96" s="1">
        <v>105</v>
      </c>
      <c r="E96" s="1" t="s">
        <v>89</v>
      </c>
      <c r="F96" s="1" t="s">
        <v>397</v>
      </c>
      <c r="G96" s="1">
        <v>369.89</v>
      </c>
      <c r="H96" s="1" t="s">
        <v>392</v>
      </c>
      <c r="I96" s="1">
        <v>72.5</v>
      </c>
      <c r="J96" s="1">
        <v>75.05</v>
      </c>
      <c r="K96" s="1">
        <f t="shared" si="13"/>
        <v>2.5499999999999972</v>
      </c>
      <c r="L96" s="1">
        <f t="shared" si="14"/>
        <v>943.2194999999989</v>
      </c>
    </row>
    <row r="97" spans="1:12" x14ac:dyDescent="0.25">
      <c r="A97" s="1" t="s">
        <v>398</v>
      </c>
      <c r="B97" s="1">
        <v>114</v>
      </c>
      <c r="C97" s="1">
        <v>5000231839</v>
      </c>
      <c r="D97" s="1">
        <v>105</v>
      </c>
      <c r="E97" s="1" t="s">
        <v>158</v>
      </c>
      <c r="F97" s="1" t="s">
        <v>399</v>
      </c>
      <c r="G97" s="3">
        <v>1049.8900000000001</v>
      </c>
      <c r="H97" s="1" t="s">
        <v>392</v>
      </c>
      <c r="I97" s="3">
        <v>72</v>
      </c>
      <c r="J97" s="1">
        <v>74.5</v>
      </c>
      <c r="K97" s="1">
        <f>J97-I97</f>
        <v>2.5</v>
      </c>
      <c r="L97" s="1">
        <f>K97*G97</f>
        <v>2624.7250000000004</v>
      </c>
    </row>
    <row r="98" spans="1:12" x14ac:dyDescent="0.25">
      <c r="A98" s="1" t="s">
        <v>387</v>
      </c>
      <c r="B98" s="1">
        <v>114</v>
      </c>
      <c r="C98" s="1">
        <v>5000231397</v>
      </c>
      <c r="D98" s="1">
        <v>105</v>
      </c>
      <c r="E98" s="1" t="s">
        <v>158</v>
      </c>
      <c r="F98" s="1" t="s">
        <v>400</v>
      </c>
      <c r="G98" s="3">
        <v>1931.01</v>
      </c>
      <c r="H98" s="1" t="s">
        <v>392</v>
      </c>
      <c r="I98" s="3">
        <v>72</v>
      </c>
      <c r="J98" s="1">
        <v>74.5</v>
      </c>
      <c r="K98" s="1">
        <f>J98-I98</f>
        <v>2.5</v>
      </c>
      <c r="L98" s="1">
        <f>K98*G98</f>
        <v>4827.5249999999996</v>
      </c>
    </row>
    <row r="99" spans="1:12" x14ac:dyDescent="0.25">
      <c r="A99" s="1" t="s">
        <v>387</v>
      </c>
      <c r="B99" s="1">
        <v>114</v>
      </c>
      <c r="C99" s="1">
        <v>5000231397</v>
      </c>
      <c r="D99" s="1">
        <v>105</v>
      </c>
      <c r="E99" s="1" t="s">
        <v>158</v>
      </c>
      <c r="F99" s="1" t="s">
        <v>400</v>
      </c>
      <c r="G99" s="1">
        <v>199.72</v>
      </c>
      <c r="H99" s="1" t="s">
        <v>392</v>
      </c>
      <c r="I99" s="3">
        <v>72</v>
      </c>
      <c r="J99" s="1">
        <v>74.5</v>
      </c>
      <c r="K99" s="1">
        <f>J99-I99</f>
        <v>2.5</v>
      </c>
      <c r="L99" s="1">
        <f>K99*G99</f>
        <v>499.3</v>
      </c>
    </row>
    <row r="100" spans="1:12" x14ac:dyDescent="0.25">
      <c r="A100" s="1" t="s">
        <v>380</v>
      </c>
      <c r="B100" s="1">
        <v>114</v>
      </c>
      <c r="C100" s="1">
        <v>5000232566</v>
      </c>
      <c r="D100" s="1">
        <v>105</v>
      </c>
      <c r="E100" s="1" t="s">
        <v>91</v>
      </c>
      <c r="F100" s="1" t="s">
        <v>401</v>
      </c>
      <c r="G100" s="1">
        <v>271.2</v>
      </c>
      <c r="H100" s="1" t="s">
        <v>392</v>
      </c>
      <c r="I100" s="3">
        <v>72</v>
      </c>
      <c r="J100" s="1">
        <v>74.5</v>
      </c>
      <c r="K100" s="1">
        <f>J100-I100</f>
        <v>2.5</v>
      </c>
      <c r="L100" s="1">
        <f>K100*G100</f>
        <v>678</v>
      </c>
    </row>
    <row r="101" spans="1:12" x14ac:dyDescent="0.25">
      <c r="A101" s="1" t="s">
        <v>380</v>
      </c>
      <c r="B101" s="1">
        <v>114</v>
      </c>
      <c r="C101" s="1">
        <v>5000232566</v>
      </c>
      <c r="D101" s="1">
        <v>105</v>
      </c>
      <c r="E101" s="1" t="s">
        <v>91</v>
      </c>
      <c r="F101" s="1" t="s">
        <v>401</v>
      </c>
      <c r="G101" s="2">
        <v>1850</v>
      </c>
      <c r="H101" s="1" t="s">
        <v>392</v>
      </c>
      <c r="I101" s="3">
        <v>72</v>
      </c>
      <c r="J101" s="1">
        <v>74.5</v>
      </c>
      <c r="K101" s="1">
        <f>J101-I101</f>
        <v>2.5</v>
      </c>
      <c r="L101" s="1">
        <f>K101*G101</f>
        <v>4625</v>
      </c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>
        <f>SUM(G87:G101)</f>
        <v>14862.869999999999</v>
      </c>
      <c r="H103" s="1"/>
      <c r="I103" s="1"/>
      <c r="J103" s="1" t="s">
        <v>58</v>
      </c>
      <c r="K103" s="1"/>
      <c r="L103" s="1">
        <f>SUM(L87:L101)</f>
        <v>37635.227499999979</v>
      </c>
    </row>
    <row r="108" spans="1:12" x14ac:dyDescent="0.25">
      <c r="A108" s="36" t="s">
        <v>154</v>
      </c>
    </row>
    <row r="109" spans="1:12" ht="45" x14ac:dyDescent="0.25">
      <c r="A109" s="1" t="s">
        <v>172</v>
      </c>
      <c r="B109" s="1" t="s">
        <v>168</v>
      </c>
      <c r="C109" s="1" t="s">
        <v>167</v>
      </c>
      <c r="D109" s="1" t="s">
        <v>169</v>
      </c>
      <c r="E109" s="1"/>
      <c r="F109" s="1" t="s">
        <v>22</v>
      </c>
      <c r="G109" s="17" t="s">
        <v>402</v>
      </c>
      <c r="H109" s="25" t="s">
        <v>403</v>
      </c>
      <c r="I109" s="4" t="s">
        <v>52</v>
      </c>
      <c r="J109" s="4" t="s">
        <v>21</v>
      </c>
    </row>
    <row r="110" spans="1:12" x14ac:dyDescent="0.25">
      <c r="A110" s="1" t="s">
        <v>395</v>
      </c>
      <c r="B110" s="1"/>
      <c r="C110" s="1">
        <v>5000234303</v>
      </c>
      <c r="D110" s="1">
        <v>105</v>
      </c>
      <c r="E110" s="1" t="s">
        <v>89</v>
      </c>
      <c r="F110" s="1">
        <v>175</v>
      </c>
      <c r="G110" s="1">
        <v>75.05</v>
      </c>
      <c r="H110" s="1">
        <v>73.900000000000006</v>
      </c>
      <c r="I110" s="1">
        <f>G110-H110</f>
        <v>1.1499999999999915</v>
      </c>
      <c r="J110" s="1">
        <f>I110*F110</f>
        <v>201.24999999999852</v>
      </c>
    </row>
    <row r="111" spans="1:12" x14ac:dyDescent="0.25">
      <c r="A111" s="1" t="s">
        <v>373</v>
      </c>
      <c r="B111" s="1"/>
      <c r="C111" s="1">
        <v>5000231032</v>
      </c>
      <c r="D111" s="1">
        <v>105</v>
      </c>
      <c r="E111" s="1" t="s">
        <v>108</v>
      </c>
      <c r="F111" s="1">
        <v>848.5</v>
      </c>
      <c r="G111" s="1">
        <v>75.05</v>
      </c>
      <c r="H111" s="1">
        <v>73.900000000000006</v>
      </c>
      <c r="I111" s="1">
        <f>G111-H111</f>
        <v>1.1499999999999915</v>
      </c>
      <c r="J111" s="1">
        <f>I111*F111</f>
        <v>975.77499999999281</v>
      </c>
    </row>
    <row r="112" spans="1:12" x14ac:dyDescent="0.25">
      <c r="A112" s="1" t="s">
        <v>378</v>
      </c>
      <c r="B112" s="1"/>
      <c r="C112" s="1">
        <v>5000235359</v>
      </c>
      <c r="D112" s="1">
        <v>105</v>
      </c>
      <c r="E112" s="1" t="s">
        <v>158</v>
      </c>
      <c r="F112" s="3">
        <v>3525.5</v>
      </c>
      <c r="G112" s="1">
        <v>74.5</v>
      </c>
      <c r="H112" s="1">
        <v>73.45</v>
      </c>
      <c r="I112" s="1">
        <f>G112-H112</f>
        <v>1.0499999999999972</v>
      </c>
      <c r="J112" s="1">
        <f>I112*F112</f>
        <v>3701.7749999999901</v>
      </c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2" x14ac:dyDescent="0.25">
      <c r="A114" s="1"/>
      <c r="B114" s="1"/>
      <c r="C114" s="1"/>
      <c r="D114" s="1"/>
      <c r="E114" s="1"/>
      <c r="F114" s="1">
        <f>SUM(F110:F113)</f>
        <v>4549</v>
      </c>
      <c r="G114" s="1"/>
      <c r="H114" s="1"/>
      <c r="I114" s="5" t="s">
        <v>283</v>
      </c>
      <c r="J114" s="5">
        <f>SUM(J110:J113)</f>
        <v>4878.7999999999811</v>
      </c>
    </row>
    <row r="117" spans="1:12" x14ac:dyDescent="0.25">
      <c r="A117" t="s">
        <v>410</v>
      </c>
    </row>
    <row r="118" spans="1:12" x14ac:dyDescent="0.25">
      <c r="A118" s="1" t="s">
        <v>390</v>
      </c>
      <c r="B118" s="1"/>
      <c r="C118" s="1" t="s">
        <v>208</v>
      </c>
      <c r="D118" s="1" t="s">
        <v>168</v>
      </c>
      <c r="E118" s="1" t="s">
        <v>169</v>
      </c>
      <c r="F118" s="1" t="s">
        <v>22</v>
      </c>
      <c r="G118" s="1"/>
      <c r="H118" s="1" t="s">
        <v>209</v>
      </c>
      <c r="I118" s="1" t="s">
        <v>210</v>
      </c>
      <c r="J118" s="1" t="s">
        <v>52</v>
      </c>
      <c r="K118" s="1" t="s">
        <v>21</v>
      </c>
      <c r="L118" s="113"/>
    </row>
    <row r="119" spans="1:12" x14ac:dyDescent="0.25">
      <c r="A119" s="1" t="s">
        <v>386</v>
      </c>
      <c r="B119" s="1"/>
      <c r="C119" s="1">
        <v>5000236601</v>
      </c>
      <c r="D119" s="1">
        <v>112</v>
      </c>
      <c r="E119" s="1" t="s">
        <v>404</v>
      </c>
      <c r="F119" s="2">
        <v>9900</v>
      </c>
      <c r="G119" s="1" t="s">
        <v>0</v>
      </c>
      <c r="H119" s="2">
        <v>6593</v>
      </c>
      <c r="I119" s="1">
        <v>6798</v>
      </c>
      <c r="J119" s="2">
        <f>I119-H119</f>
        <v>205</v>
      </c>
      <c r="K119" s="1">
        <f>J119/1000*F119</f>
        <v>2029.4999999999998</v>
      </c>
    </row>
    <row r="120" spans="1:12" x14ac:dyDescent="0.25">
      <c r="A120" s="1" t="s">
        <v>405</v>
      </c>
      <c r="B120" s="1"/>
      <c r="C120" s="1">
        <v>5000235493</v>
      </c>
      <c r="D120" s="1">
        <v>112</v>
      </c>
      <c r="E120" s="1" t="s">
        <v>404</v>
      </c>
      <c r="F120" s="2">
        <v>40700</v>
      </c>
      <c r="G120" s="1" t="s">
        <v>0</v>
      </c>
      <c r="H120" s="2">
        <v>6593</v>
      </c>
      <c r="I120" s="1">
        <v>6798</v>
      </c>
      <c r="J120" s="2">
        <f>I120-H120</f>
        <v>205</v>
      </c>
      <c r="K120" s="1">
        <f>J120/1000*F120</f>
        <v>8343.5</v>
      </c>
    </row>
    <row r="121" spans="1:12" x14ac:dyDescent="0.25">
      <c r="A121" s="1" t="s">
        <v>406</v>
      </c>
      <c r="B121" s="1"/>
      <c r="C121" s="1">
        <v>5000236790</v>
      </c>
      <c r="D121" s="1">
        <v>112</v>
      </c>
      <c r="E121" s="1" t="s">
        <v>407</v>
      </c>
      <c r="F121" s="2">
        <v>17334</v>
      </c>
      <c r="G121" s="1" t="s">
        <v>0</v>
      </c>
      <c r="H121" s="1">
        <v>8633</v>
      </c>
      <c r="I121" s="2">
        <v>9202</v>
      </c>
      <c r="J121" s="2">
        <f>I121-H121</f>
        <v>569</v>
      </c>
      <c r="K121" s="1">
        <f>J121/1000*F121</f>
        <v>9863.0459999999985</v>
      </c>
    </row>
    <row r="122" spans="1:1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2" x14ac:dyDescent="0.25">
      <c r="A123" s="1"/>
      <c r="B123" s="1"/>
      <c r="C123" s="1"/>
      <c r="D123" s="1"/>
      <c r="E123" s="1"/>
      <c r="F123" s="2">
        <f>SUM(F119:F122)</f>
        <v>67934</v>
      </c>
      <c r="G123" s="1"/>
      <c r="H123" s="1"/>
      <c r="I123" s="1"/>
      <c r="J123" s="1" t="s">
        <v>58</v>
      </c>
      <c r="K123" s="1">
        <f>SUM(K119:K121)</f>
        <v>20236.045999999998</v>
      </c>
    </row>
    <row r="125" spans="1:12" x14ac:dyDescent="0.25">
      <c r="H125" s="8"/>
    </row>
    <row r="126" spans="1:12" x14ac:dyDescent="0.25">
      <c r="A126" s="6" t="s">
        <v>286</v>
      </c>
    </row>
    <row r="127" spans="1:12" x14ac:dyDescent="0.25">
      <c r="A127" s="1" t="s">
        <v>390</v>
      </c>
      <c r="B127" s="1" t="s">
        <v>208</v>
      </c>
      <c r="C127" s="1" t="s">
        <v>168</v>
      </c>
      <c r="D127" s="1" t="s">
        <v>167</v>
      </c>
      <c r="E127" s="1" t="s">
        <v>169</v>
      </c>
      <c r="F127" s="1"/>
      <c r="G127" s="1" t="s">
        <v>22</v>
      </c>
      <c r="H127" s="1" t="s">
        <v>209</v>
      </c>
      <c r="I127" s="1" t="s">
        <v>210</v>
      </c>
      <c r="J127" s="1" t="s">
        <v>52</v>
      </c>
      <c r="K127" s="1" t="s">
        <v>21</v>
      </c>
    </row>
    <row r="128" spans="1:12" x14ac:dyDescent="0.25">
      <c r="A128" s="1" t="s">
        <v>371</v>
      </c>
      <c r="B128" s="1">
        <v>5000233361</v>
      </c>
      <c r="C128" s="1">
        <v>114</v>
      </c>
      <c r="D128" s="1">
        <v>1002620</v>
      </c>
      <c r="E128" s="1" t="s">
        <v>282</v>
      </c>
      <c r="F128" s="1"/>
      <c r="G128" s="2">
        <v>73440</v>
      </c>
      <c r="H128" s="1">
        <v>0.18</v>
      </c>
      <c r="I128" s="1">
        <v>0.52</v>
      </c>
      <c r="J128" s="3">
        <f>I128-H128</f>
        <v>0.34</v>
      </c>
      <c r="K128" s="1">
        <f>J128*G128</f>
        <v>24969.600000000002</v>
      </c>
    </row>
    <row r="129" spans="1:12" x14ac:dyDescent="0.25">
      <c r="A129" s="1" t="s">
        <v>371</v>
      </c>
      <c r="B129" s="1">
        <v>5000233361</v>
      </c>
      <c r="C129" s="1">
        <v>114</v>
      </c>
      <c r="D129" s="1">
        <v>1002620</v>
      </c>
      <c r="E129" s="1" t="s">
        <v>282</v>
      </c>
      <c r="F129" s="1"/>
      <c r="G129" s="2">
        <v>18360</v>
      </c>
      <c r="H129" s="1">
        <v>0.18</v>
      </c>
      <c r="I129" s="1">
        <v>0.52</v>
      </c>
      <c r="J129" s="3">
        <f>I129-H129</f>
        <v>0.34</v>
      </c>
      <c r="K129" s="1">
        <f>J129*G129</f>
        <v>6242.4000000000005</v>
      </c>
    </row>
    <row r="130" spans="1:12" x14ac:dyDescent="0.25">
      <c r="A130" s="1" t="s">
        <v>408</v>
      </c>
      <c r="B130" s="1">
        <v>5000237272</v>
      </c>
      <c r="C130" s="1">
        <v>114</v>
      </c>
      <c r="D130" s="1">
        <v>1003035</v>
      </c>
      <c r="E130" s="1" t="s">
        <v>409</v>
      </c>
      <c r="F130" s="1"/>
      <c r="G130" s="2">
        <v>7800</v>
      </c>
      <c r="H130" s="1">
        <v>0.57999999999999996</v>
      </c>
      <c r="I130" s="1">
        <v>0.77</v>
      </c>
      <c r="J130" s="3">
        <f>I130-H130</f>
        <v>0.19000000000000006</v>
      </c>
      <c r="K130" s="1">
        <f>J130*G130</f>
        <v>1482.0000000000005</v>
      </c>
    </row>
    <row r="131" spans="1:12" x14ac:dyDescent="0.25">
      <c r="A131" s="1" t="s">
        <v>408</v>
      </c>
      <c r="B131" s="1">
        <v>5000237272</v>
      </c>
      <c r="C131" s="1">
        <v>114</v>
      </c>
      <c r="D131" s="1">
        <v>1003035</v>
      </c>
      <c r="E131" s="1" t="s">
        <v>409</v>
      </c>
      <c r="F131" s="1"/>
      <c r="G131" s="2">
        <v>53000</v>
      </c>
      <c r="H131" s="1">
        <v>0.57999999999999996</v>
      </c>
      <c r="I131" s="1">
        <v>0.77</v>
      </c>
      <c r="J131" s="3">
        <f>I131-H131</f>
        <v>0.19000000000000006</v>
      </c>
      <c r="K131" s="1">
        <f>J131*G131</f>
        <v>10070.000000000004</v>
      </c>
    </row>
    <row r="132" spans="1:12" x14ac:dyDescent="0.25">
      <c r="A132" s="1" t="s">
        <v>386</v>
      </c>
      <c r="B132" s="1">
        <v>5000236519</v>
      </c>
      <c r="C132" s="1">
        <v>114</v>
      </c>
      <c r="D132" s="1">
        <v>1003035</v>
      </c>
      <c r="E132" s="1" t="s">
        <v>409</v>
      </c>
      <c r="F132" s="1"/>
      <c r="G132" s="2">
        <v>12000</v>
      </c>
      <c r="H132" s="1">
        <v>0.57999999999999996</v>
      </c>
      <c r="I132" s="1">
        <v>0.77</v>
      </c>
      <c r="J132" s="3">
        <f>I132-H132</f>
        <v>0.19000000000000006</v>
      </c>
      <c r="K132" s="1">
        <f>J132*G132</f>
        <v>2280.0000000000009</v>
      </c>
    </row>
    <row r="133" spans="1:1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2" x14ac:dyDescent="0.25">
      <c r="A134" s="1"/>
      <c r="B134" s="1"/>
      <c r="C134" s="1"/>
      <c r="D134" s="1"/>
      <c r="E134" s="1"/>
      <c r="F134" s="1"/>
      <c r="G134" s="2">
        <f>SUM(G128:G133)</f>
        <v>164600</v>
      </c>
      <c r="H134" s="1"/>
      <c r="I134" s="1"/>
      <c r="J134" s="1" t="s">
        <v>58</v>
      </c>
      <c r="K134" s="1">
        <f>SUM(K128:K132)</f>
        <v>45044.000000000007</v>
      </c>
    </row>
    <row r="137" spans="1:12" x14ac:dyDescent="0.25">
      <c r="A137" s="1"/>
      <c r="B137" s="1" t="s">
        <v>411</v>
      </c>
      <c r="C137" s="2">
        <v>11100</v>
      </c>
      <c r="D137" s="1" t="s">
        <v>0</v>
      </c>
      <c r="E137" s="1">
        <v>0</v>
      </c>
      <c r="F137" s="1" t="s">
        <v>0</v>
      </c>
      <c r="G137" s="1">
        <v>47.38</v>
      </c>
      <c r="H137" s="1"/>
      <c r="I137" s="1"/>
      <c r="J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>
        <v>47.38</v>
      </c>
    </row>
    <row r="140" spans="1:12" x14ac:dyDescent="0.25">
      <c r="A140" s="1">
        <v>3000031942</v>
      </c>
      <c r="B140" s="1" t="s">
        <v>412</v>
      </c>
      <c r="C140" s="1" t="s">
        <v>413</v>
      </c>
      <c r="D140" s="1">
        <v>1002069</v>
      </c>
      <c r="E140" s="1" t="s">
        <v>414</v>
      </c>
      <c r="F140" s="1" t="s">
        <v>415</v>
      </c>
      <c r="G140" s="2">
        <v>8610</v>
      </c>
      <c r="H140" s="1" t="s">
        <v>0</v>
      </c>
      <c r="I140" s="1">
        <v>0</v>
      </c>
      <c r="J140" s="1" t="s">
        <v>0</v>
      </c>
      <c r="K140">
        <v>33.200000000000003</v>
      </c>
      <c r="L140" t="s">
        <v>341</v>
      </c>
    </row>
    <row r="141" spans="1:12" x14ac:dyDescent="0.25">
      <c r="A141" s="1">
        <v>3000033018</v>
      </c>
      <c r="B141" s="1" t="s">
        <v>412</v>
      </c>
      <c r="C141" s="1" t="s">
        <v>416</v>
      </c>
      <c r="D141" s="1">
        <v>1002069</v>
      </c>
      <c r="E141" s="1" t="s">
        <v>414</v>
      </c>
      <c r="F141" s="1" t="s">
        <v>415</v>
      </c>
      <c r="G141" s="1">
        <v>210</v>
      </c>
      <c r="H141" s="1" t="s">
        <v>0</v>
      </c>
      <c r="I141" s="1">
        <v>0</v>
      </c>
      <c r="J141" s="1" t="s">
        <v>0</v>
      </c>
      <c r="K141">
        <v>33.200000000000003</v>
      </c>
      <c r="L141" t="s">
        <v>341</v>
      </c>
    </row>
    <row r="142" spans="1:12" x14ac:dyDescent="0.25">
      <c r="A142" s="1"/>
      <c r="B142" s="1"/>
      <c r="C142" s="1"/>
      <c r="D142" s="1"/>
      <c r="E142" s="1"/>
      <c r="F142" s="1">
        <f>G137-K141</f>
        <v>14.18</v>
      </c>
      <c r="G142" s="2">
        <f>SUM(G140:G141)</f>
        <v>8820</v>
      </c>
      <c r="H142" s="5">
        <f>F142*G142</f>
        <v>125067.59999999999</v>
      </c>
      <c r="I142" s="1"/>
      <c r="J142" s="1"/>
    </row>
    <row r="143" spans="1:12" x14ac:dyDescent="0.25">
      <c r="H143">
        <v>125068</v>
      </c>
    </row>
    <row r="146" spans="3:14" ht="15.75" thickBot="1" x14ac:dyDescent="0.3"/>
    <row r="147" spans="3:14" ht="45.75" thickBot="1" x14ac:dyDescent="0.3">
      <c r="C147" s="116" t="s">
        <v>436</v>
      </c>
      <c r="D147" s="117"/>
      <c r="E147" s="117" t="s">
        <v>437</v>
      </c>
      <c r="F147" s="117"/>
      <c r="G147" s="117"/>
      <c r="H147" s="117" t="s">
        <v>438</v>
      </c>
      <c r="I147" s="117" t="s">
        <v>439</v>
      </c>
      <c r="J147" s="117" t="s">
        <v>22</v>
      </c>
      <c r="K147" s="118" t="s">
        <v>440</v>
      </c>
      <c r="L147" s="118" t="s">
        <v>441</v>
      </c>
      <c r="M147" s="118" t="s">
        <v>442</v>
      </c>
      <c r="N147" s="117" t="s">
        <v>443</v>
      </c>
    </row>
    <row r="148" spans="3:14" ht="15.75" thickBot="1" x14ac:dyDescent="0.3">
      <c r="C148" s="119" t="s">
        <v>444</v>
      </c>
      <c r="D148" s="120"/>
      <c r="E148" s="121">
        <v>5000233982</v>
      </c>
      <c r="F148" s="121">
        <v>105</v>
      </c>
      <c r="G148" s="120" t="s">
        <v>445</v>
      </c>
      <c r="H148" s="121">
        <v>1001570</v>
      </c>
      <c r="I148" s="120" t="s">
        <v>333</v>
      </c>
      <c r="J148" s="122">
        <v>9128</v>
      </c>
      <c r="K148" s="121">
        <v>330</v>
      </c>
      <c r="L148" s="121">
        <v>410</v>
      </c>
      <c r="M148" s="121">
        <v>80</v>
      </c>
      <c r="N148" s="121">
        <v>730.24</v>
      </c>
    </row>
    <row r="149" spans="3:14" ht="15.75" thickBot="1" x14ac:dyDescent="0.3">
      <c r="C149" s="119" t="s">
        <v>444</v>
      </c>
      <c r="D149" s="120"/>
      <c r="E149" s="121">
        <v>5000233982</v>
      </c>
      <c r="F149" s="121">
        <v>105</v>
      </c>
      <c r="G149" s="120" t="s">
        <v>445</v>
      </c>
      <c r="H149" s="121">
        <v>1001570</v>
      </c>
      <c r="I149" s="120" t="s">
        <v>333</v>
      </c>
      <c r="J149" s="122">
        <v>35872</v>
      </c>
      <c r="K149" s="121">
        <v>330</v>
      </c>
      <c r="L149" s="121">
        <v>410</v>
      </c>
      <c r="M149" s="121">
        <v>80</v>
      </c>
      <c r="N149" s="121">
        <v>2869.76</v>
      </c>
    </row>
    <row r="150" spans="3:14" ht="15.75" thickBot="1" x14ac:dyDescent="0.3">
      <c r="C150" s="119" t="s">
        <v>444</v>
      </c>
      <c r="D150" s="120"/>
      <c r="E150" s="121">
        <v>5000233982</v>
      </c>
      <c r="F150" s="121">
        <v>105</v>
      </c>
      <c r="G150" s="120" t="s">
        <v>445</v>
      </c>
      <c r="H150" s="121">
        <v>1001570</v>
      </c>
      <c r="I150" s="120" t="s">
        <v>333</v>
      </c>
      <c r="J150" s="122">
        <v>40000</v>
      </c>
      <c r="K150" s="121">
        <v>330</v>
      </c>
      <c r="L150" s="121">
        <v>410</v>
      </c>
      <c r="M150" s="121">
        <v>80</v>
      </c>
      <c r="N150" s="121">
        <v>3200</v>
      </c>
    </row>
    <row r="151" spans="3:14" ht="15.75" thickBot="1" x14ac:dyDescent="0.3">
      <c r="C151" s="119" t="s">
        <v>446</v>
      </c>
      <c r="D151" s="120"/>
      <c r="E151" s="121">
        <v>5000235133</v>
      </c>
      <c r="F151" s="121">
        <v>105</v>
      </c>
      <c r="G151" s="120" t="s">
        <v>447</v>
      </c>
      <c r="H151" s="121">
        <v>1002277</v>
      </c>
      <c r="I151" s="120" t="s">
        <v>448</v>
      </c>
      <c r="J151" s="122">
        <v>10000</v>
      </c>
      <c r="K151" s="121">
        <v>660</v>
      </c>
      <c r="L151" s="121">
        <v>720</v>
      </c>
      <c r="M151" s="121">
        <v>60</v>
      </c>
      <c r="N151" s="121">
        <v>600</v>
      </c>
    </row>
    <row r="152" spans="3:14" ht="15.75" thickBot="1" x14ac:dyDescent="0.3">
      <c r="C152" s="119" t="s">
        <v>446</v>
      </c>
      <c r="D152" s="120"/>
      <c r="E152" s="121">
        <v>5000235133</v>
      </c>
      <c r="F152" s="121">
        <v>105</v>
      </c>
      <c r="G152" s="120" t="s">
        <v>447</v>
      </c>
      <c r="H152" s="121">
        <v>1002277</v>
      </c>
      <c r="I152" s="120" t="s">
        <v>448</v>
      </c>
      <c r="J152" s="122">
        <v>10000</v>
      </c>
      <c r="K152" s="121">
        <v>660</v>
      </c>
      <c r="L152" s="121">
        <v>720</v>
      </c>
      <c r="M152" s="121">
        <v>60</v>
      </c>
      <c r="N152" s="121">
        <v>600</v>
      </c>
    </row>
    <row r="153" spans="3:14" ht="15.75" thickBot="1" x14ac:dyDescent="0.3">
      <c r="C153" s="119" t="s">
        <v>446</v>
      </c>
      <c r="D153" s="120"/>
      <c r="E153" s="121">
        <v>5000235133</v>
      </c>
      <c r="F153" s="121">
        <v>105</v>
      </c>
      <c r="G153" s="120" t="s">
        <v>447</v>
      </c>
      <c r="H153" s="121">
        <v>1002277</v>
      </c>
      <c r="I153" s="120" t="s">
        <v>448</v>
      </c>
      <c r="J153" s="122">
        <v>10000</v>
      </c>
      <c r="K153" s="121">
        <v>660</v>
      </c>
      <c r="L153" s="121">
        <v>720</v>
      </c>
      <c r="M153" s="121">
        <v>60</v>
      </c>
      <c r="N153" s="121">
        <v>600</v>
      </c>
    </row>
    <row r="154" spans="3:14" ht="15.75" thickBot="1" x14ac:dyDescent="0.3">
      <c r="C154" s="119" t="s">
        <v>446</v>
      </c>
      <c r="D154" s="120"/>
      <c r="E154" s="121">
        <v>5000235133</v>
      </c>
      <c r="F154" s="121">
        <v>105</v>
      </c>
      <c r="G154" s="120" t="s">
        <v>447</v>
      </c>
      <c r="H154" s="121">
        <v>1002277</v>
      </c>
      <c r="I154" s="120" t="s">
        <v>448</v>
      </c>
      <c r="J154" s="122">
        <v>6910</v>
      </c>
      <c r="K154" s="121">
        <v>660</v>
      </c>
      <c r="L154" s="121">
        <v>720</v>
      </c>
      <c r="M154" s="121">
        <v>60</v>
      </c>
      <c r="N154" s="121">
        <v>414.6</v>
      </c>
    </row>
    <row r="155" spans="3:14" ht="15.75" thickBot="1" x14ac:dyDescent="0.3">
      <c r="C155" s="119" t="s">
        <v>444</v>
      </c>
      <c r="D155" s="120"/>
      <c r="E155" s="121">
        <v>5000233587</v>
      </c>
      <c r="F155" s="121">
        <v>105</v>
      </c>
      <c r="G155" s="120" t="s">
        <v>449</v>
      </c>
      <c r="H155" s="121">
        <v>1002277</v>
      </c>
      <c r="I155" s="120" t="s">
        <v>448</v>
      </c>
      <c r="J155" s="122">
        <v>10404</v>
      </c>
      <c r="K155" s="121">
        <v>660</v>
      </c>
      <c r="L155" s="121">
        <v>720</v>
      </c>
      <c r="M155" s="121">
        <v>60</v>
      </c>
      <c r="N155" s="121">
        <v>624.24</v>
      </c>
    </row>
    <row r="156" spans="3:14" ht="15.75" thickBot="1" x14ac:dyDescent="0.3">
      <c r="C156" s="119" t="s">
        <v>444</v>
      </c>
      <c r="D156" s="120"/>
      <c r="E156" s="121">
        <v>5000233587</v>
      </c>
      <c r="F156" s="121">
        <v>105</v>
      </c>
      <c r="G156" s="120" t="s">
        <v>449</v>
      </c>
      <c r="H156" s="121">
        <v>1002277</v>
      </c>
      <c r="I156" s="120" t="s">
        <v>448</v>
      </c>
      <c r="J156" s="122">
        <v>19400</v>
      </c>
      <c r="K156" s="121">
        <v>660</v>
      </c>
      <c r="L156" s="121">
        <v>720</v>
      </c>
      <c r="M156" s="121">
        <v>60</v>
      </c>
      <c r="N156" s="121">
        <v>1164</v>
      </c>
    </row>
    <row r="157" spans="3:14" ht="15.75" thickBot="1" x14ac:dyDescent="0.3">
      <c r="C157" s="119" t="s">
        <v>444</v>
      </c>
      <c r="D157" s="120"/>
      <c r="E157" s="121">
        <v>5000233587</v>
      </c>
      <c r="F157" s="121">
        <v>105</v>
      </c>
      <c r="G157" s="120" t="s">
        <v>449</v>
      </c>
      <c r="H157" s="121">
        <v>1002277</v>
      </c>
      <c r="I157" s="120" t="s">
        <v>448</v>
      </c>
      <c r="J157" s="122">
        <v>10404</v>
      </c>
      <c r="K157" s="121">
        <v>660</v>
      </c>
      <c r="L157" s="121">
        <v>720</v>
      </c>
      <c r="M157" s="121">
        <v>60</v>
      </c>
      <c r="N157" s="121">
        <v>624.24</v>
      </c>
    </row>
    <row r="158" spans="3:14" ht="15.75" thickBot="1" x14ac:dyDescent="0.3">
      <c r="C158" s="119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</row>
    <row r="159" spans="3:14" ht="15.75" thickBot="1" x14ac:dyDescent="0.3">
      <c r="C159" s="119"/>
      <c r="D159" s="120"/>
      <c r="E159" s="120"/>
      <c r="F159" s="120"/>
      <c r="G159" s="120"/>
      <c r="H159" s="120"/>
      <c r="I159" s="120"/>
      <c r="J159" s="123">
        <f>SUM(J148:J158)</f>
        <v>162118</v>
      </c>
      <c r="K159" s="120"/>
      <c r="L159" s="120"/>
      <c r="M159" s="120"/>
      <c r="N159" s="121">
        <v>11427.08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topLeftCell="A6" zoomScale="86" zoomScaleNormal="86" workbookViewId="0">
      <selection activeCell="G32" sqref="G32"/>
    </sheetView>
  </sheetViews>
  <sheetFormatPr defaultColWidth="19.7109375" defaultRowHeight="15" x14ac:dyDescent="0.25"/>
  <cols>
    <col min="2" max="2" width="21.5703125" bestFit="1" customWidth="1"/>
    <col min="3" max="3" width="22.42578125" style="29" customWidth="1"/>
    <col min="4" max="4" width="16.140625" customWidth="1"/>
    <col min="5" max="5" width="14.140625" customWidth="1"/>
    <col min="6" max="6" width="18.140625" customWidth="1"/>
    <col min="7" max="7" width="22.7109375" bestFit="1" customWidth="1"/>
    <col min="8" max="8" width="24.140625" bestFit="1" customWidth="1"/>
    <col min="9" max="9" width="21.85546875" bestFit="1" customWidth="1"/>
    <col min="10" max="10" width="10.85546875" customWidth="1"/>
  </cols>
  <sheetData>
    <row r="3" spans="1:10" ht="30" x14ac:dyDescent="0.25">
      <c r="B3" s="51" t="s">
        <v>77</v>
      </c>
      <c r="C3" s="53" t="s">
        <v>32</v>
      </c>
      <c r="D3" s="53" t="s">
        <v>33</v>
      </c>
      <c r="E3" s="53" t="s">
        <v>24</v>
      </c>
      <c r="F3" s="53" t="s">
        <v>34</v>
      </c>
      <c r="G3" s="53" t="s">
        <v>35</v>
      </c>
      <c r="H3" s="53" t="s">
        <v>36</v>
      </c>
      <c r="I3" s="53" t="s">
        <v>37</v>
      </c>
      <c r="J3" s="51" t="s">
        <v>57</v>
      </c>
    </row>
    <row r="4" spans="1:10" ht="30" x14ac:dyDescent="0.25">
      <c r="A4">
        <v>1</v>
      </c>
      <c r="B4" s="69" t="s">
        <v>73</v>
      </c>
      <c r="C4" s="62" t="s">
        <v>93</v>
      </c>
      <c r="D4" s="55">
        <f>'Consol April2016'!D4</f>
        <v>499955</v>
      </c>
      <c r="E4" s="56" t="s">
        <v>25</v>
      </c>
      <c r="F4" s="56" t="s">
        <v>117</v>
      </c>
      <c r="G4" s="88"/>
      <c r="H4" s="88">
        <f>'Consol April2016'!H4</f>
        <v>30280.750000000029</v>
      </c>
      <c r="I4" s="79" t="s">
        <v>26</v>
      </c>
      <c r="J4" s="58" t="s">
        <v>48</v>
      </c>
    </row>
    <row r="5" spans="1:10" ht="30" x14ac:dyDescent="0.25">
      <c r="A5">
        <v>2</v>
      </c>
      <c r="B5" s="69" t="s">
        <v>94</v>
      </c>
      <c r="C5" s="62" t="s">
        <v>27</v>
      </c>
      <c r="D5" s="55">
        <f>'Consol April2016'!D5+'Consol May2016'!D4+'Consol JUNE2016'!D4</f>
        <v>95421.140000000014</v>
      </c>
      <c r="E5" s="56" t="s">
        <v>23</v>
      </c>
      <c r="F5" s="56" t="s">
        <v>56</v>
      </c>
      <c r="G5" s="88">
        <f>'Consol April2016'!G5+'Consol May2016'!G4</f>
        <v>182867.33849999914</v>
      </c>
      <c r="H5" s="88">
        <f>'Consol April2016'!H5+'Consol May2016'!H4+'Consol JUNE2016'!H4</f>
        <v>675769.06864842051</v>
      </c>
      <c r="I5" s="79" t="s">
        <v>28</v>
      </c>
      <c r="J5" s="58" t="s">
        <v>48</v>
      </c>
    </row>
    <row r="6" spans="1:10" x14ac:dyDescent="0.25">
      <c r="A6">
        <v>3</v>
      </c>
      <c r="B6" s="69" t="s">
        <v>95</v>
      </c>
      <c r="C6" s="62" t="s">
        <v>27</v>
      </c>
      <c r="D6" s="55">
        <f>'Consol April2016'!D6+'Consol May2016'!D5+'Consol JUNE2016'!D5</f>
        <v>23086.7</v>
      </c>
      <c r="E6" s="56" t="s">
        <v>23</v>
      </c>
      <c r="F6" s="56" t="s">
        <v>96</v>
      </c>
      <c r="G6" s="88">
        <f>'Consol April2016'!G6+'Consol May2016'!G5+'Consol JUNE2016'!G5</f>
        <v>56562.414999999732</v>
      </c>
      <c r="H6" s="88">
        <f>'Consol April2016'!H6+'Consol May2016'!H5+'Consol JUNE2016'!H5</f>
        <v>507411.39555462555</v>
      </c>
      <c r="I6" s="79" t="s">
        <v>40</v>
      </c>
      <c r="J6" s="58" t="s">
        <v>48</v>
      </c>
    </row>
    <row r="7" spans="1:10" x14ac:dyDescent="0.25">
      <c r="A7">
        <v>4</v>
      </c>
      <c r="B7" s="69" t="s">
        <v>74</v>
      </c>
      <c r="C7" s="62" t="s">
        <v>30</v>
      </c>
      <c r="D7" s="55"/>
      <c r="E7" s="56" t="s">
        <v>23</v>
      </c>
      <c r="F7" s="56">
        <v>26.8</v>
      </c>
      <c r="G7" s="88"/>
      <c r="H7" s="88"/>
      <c r="I7" s="79" t="s">
        <v>31</v>
      </c>
      <c r="J7" s="58" t="s">
        <v>48</v>
      </c>
    </row>
    <row r="8" spans="1:10" ht="30" x14ac:dyDescent="0.25">
      <c r="A8">
        <v>5</v>
      </c>
      <c r="B8" s="69" t="s">
        <v>313</v>
      </c>
      <c r="C8" s="62" t="s">
        <v>30</v>
      </c>
      <c r="D8" s="55">
        <f>'MAY2016'!G360+'Consol JUNE2016'!D12</f>
        <v>2004.4</v>
      </c>
      <c r="E8" s="56" t="s">
        <v>23</v>
      </c>
      <c r="F8" s="56" t="s">
        <v>217</v>
      </c>
      <c r="G8" s="88">
        <f>'YTD FY2016-17'!G8+'Consol JUNE2016'!G12</f>
        <v>13133.620000000023</v>
      </c>
      <c r="H8" s="88"/>
      <c r="I8" s="79" t="s">
        <v>97</v>
      </c>
      <c r="J8" s="58" t="s">
        <v>48</v>
      </c>
    </row>
    <row r="9" spans="1:10" ht="45" x14ac:dyDescent="0.25">
      <c r="A9">
        <v>6</v>
      </c>
      <c r="B9" s="69" t="s">
        <v>76</v>
      </c>
      <c r="C9" s="62" t="s">
        <v>68</v>
      </c>
      <c r="D9" s="55">
        <f>'APR2016'!E247</f>
        <v>606</v>
      </c>
      <c r="E9" s="56" t="s">
        <v>23</v>
      </c>
      <c r="F9" s="56" t="s">
        <v>69</v>
      </c>
      <c r="G9" s="88"/>
      <c r="H9" s="88">
        <f>'APR2016'!O248</f>
        <v>26126.261818181818</v>
      </c>
      <c r="I9" s="79" t="s">
        <v>40</v>
      </c>
      <c r="J9" s="58" t="s">
        <v>48</v>
      </c>
    </row>
    <row r="10" spans="1:10" ht="30" x14ac:dyDescent="0.25">
      <c r="A10">
        <v>7</v>
      </c>
      <c r="B10" s="69" t="s">
        <v>98</v>
      </c>
      <c r="C10" s="62" t="s">
        <v>99</v>
      </c>
      <c r="D10" s="55">
        <f>'Consol April2016'!D8+'Consol May2016'!D6+'Consol JUNE2016'!D6</f>
        <v>5767930</v>
      </c>
      <c r="E10" s="56" t="s">
        <v>39</v>
      </c>
      <c r="F10" s="56" t="s">
        <v>100</v>
      </c>
      <c r="G10" s="88"/>
      <c r="H10" s="88">
        <f>'Consol April2016'!H8+'Consol May2016'!H6+'Consol JUNE2016'!H6</f>
        <v>95367.262461538281</v>
      </c>
      <c r="I10" s="79" t="s">
        <v>101</v>
      </c>
      <c r="J10" s="58" t="s">
        <v>48</v>
      </c>
    </row>
    <row r="11" spans="1:10" ht="30" x14ac:dyDescent="0.25">
      <c r="A11">
        <v>8</v>
      </c>
      <c r="B11" s="69" t="s">
        <v>98</v>
      </c>
      <c r="C11" s="62" t="s">
        <v>102</v>
      </c>
      <c r="D11" s="55">
        <f>'Consol April2016'!D9+'Consol May2016'!D7+'Consol JUNE2016'!D7</f>
        <v>55522.609999999993</v>
      </c>
      <c r="E11" s="56" t="s">
        <v>23</v>
      </c>
      <c r="F11" s="56" t="s">
        <v>103</v>
      </c>
      <c r="G11" s="88"/>
      <c r="H11" s="88">
        <f>'Consol April2016'!H9+'Consol May2016'!H7+'Consol JUNE2016'!H7</f>
        <v>139429.75550000009</v>
      </c>
      <c r="I11" s="79" t="s">
        <v>101</v>
      </c>
      <c r="J11" s="58" t="s">
        <v>107</v>
      </c>
    </row>
    <row r="12" spans="1:10" ht="30" x14ac:dyDescent="0.25">
      <c r="A12">
        <v>9</v>
      </c>
      <c r="B12" s="70" t="s">
        <v>98</v>
      </c>
      <c r="C12" s="62" t="s">
        <v>104</v>
      </c>
      <c r="D12" s="55"/>
      <c r="E12" s="56" t="s">
        <v>23</v>
      </c>
      <c r="F12" s="56" t="s">
        <v>105</v>
      </c>
      <c r="G12" s="88"/>
      <c r="H12" s="88"/>
      <c r="I12" s="79" t="s">
        <v>106</v>
      </c>
      <c r="J12" s="58" t="s">
        <v>48</v>
      </c>
    </row>
    <row r="13" spans="1:10" ht="30" x14ac:dyDescent="0.25">
      <c r="A13">
        <v>10</v>
      </c>
      <c r="B13" s="62" t="s">
        <v>370</v>
      </c>
      <c r="C13" s="62" t="s">
        <v>47</v>
      </c>
      <c r="D13" s="55">
        <f>'YTD FY2016-17'!D13+'Consol JUNE2016'!D17</f>
        <v>301850</v>
      </c>
      <c r="E13" s="56" t="s">
        <v>29</v>
      </c>
      <c r="F13" s="56" t="s">
        <v>55</v>
      </c>
      <c r="G13" s="88">
        <f>'Consol April2016'!G12+'Consol May2016'!G12+'Consol JUNE2016'!G17</f>
        <v>9805.5</v>
      </c>
      <c r="H13" s="88">
        <f>'Consol April2016'!H12+'Consol May2016'!H12+'Consol JUNE2016'!H17</f>
        <v>48177.499999999993</v>
      </c>
      <c r="I13" s="79" t="s">
        <v>41</v>
      </c>
      <c r="J13" s="58" t="s">
        <v>48</v>
      </c>
    </row>
    <row r="14" spans="1:10" ht="30" x14ac:dyDescent="0.25">
      <c r="A14">
        <v>11</v>
      </c>
      <c r="B14" s="69" t="s">
        <v>76</v>
      </c>
      <c r="C14" s="63" t="s">
        <v>70</v>
      </c>
      <c r="D14" s="60"/>
      <c r="E14" s="61" t="s">
        <v>25</v>
      </c>
      <c r="F14" s="61">
        <v>0.38</v>
      </c>
      <c r="G14" s="89"/>
      <c r="H14" s="89"/>
      <c r="I14" s="80" t="s">
        <v>71</v>
      </c>
      <c r="J14" s="61" t="s">
        <v>48</v>
      </c>
    </row>
    <row r="15" spans="1:10" ht="30" x14ac:dyDescent="0.25">
      <c r="A15">
        <v>12</v>
      </c>
      <c r="B15" s="69" t="s">
        <v>260</v>
      </c>
      <c r="C15" s="62" t="s">
        <v>219</v>
      </c>
      <c r="D15" s="55">
        <f>200000+'Consol JUNE2016'!D9</f>
        <v>1811700</v>
      </c>
      <c r="E15" s="56" t="s">
        <v>25</v>
      </c>
      <c r="F15" s="56" t="s">
        <v>297</v>
      </c>
      <c r="G15" s="88">
        <f>'Consol JUNE2016'!G9+'Consol May2016'!G8</f>
        <v>80878.89285714287</v>
      </c>
      <c r="H15" s="88"/>
      <c r="I15" s="79"/>
      <c r="J15" s="58" t="s">
        <v>49</v>
      </c>
    </row>
    <row r="16" spans="1:10" ht="30" x14ac:dyDescent="0.25">
      <c r="A16">
        <v>13</v>
      </c>
      <c r="B16" s="69" t="s">
        <v>75</v>
      </c>
      <c r="C16" s="62" t="s">
        <v>45</v>
      </c>
      <c r="D16" s="55">
        <f>'Consol JUNE2016'!D8</f>
        <v>1236240</v>
      </c>
      <c r="E16" s="56" t="s">
        <v>46</v>
      </c>
      <c r="F16" s="56">
        <f>3000</f>
        <v>3000</v>
      </c>
      <c r="G16" s="88"/>
      <c r="H16" s="88">
        <f>'Consol JUNE2016'!H8</f>
        <v>278154.06953851739</v>
      </c>
      <c r="I16" s="79"/>
      <c r="J16" s="58" t="s">
        <v>49</v>
      </c>
    </row>
    <row r="17" spans="1:10" ht="27" x14ac:dyDescent="0.25">
      <c r="A17">
        <v>14</v>
      </c>
      <c r="B17" s="30" t="s">
        <v>299</v>
      </c>
      <c r="C17" s="65" t="s">
        <v>300</v>
      </c>
      <c r="D17" s="16">
        <f>'Consol JUNE2016'!D13</f>
        <v>37260</v>
      </c>
      <c r="E17" s="15" t="s">
        <v>29</v>
      </c>
      <c r="F17" s="15" t="s">
        <v>302</v>
      </c>
      <c r="G17" s="90">
        <f>'Consol JUNE2016'!G13</f>
        <v>20902.86</v>
      </c>
      <c r="H17" s="90"/>
      <c r="I17" s="83" t="s">
        <v>301</v>
      </c>
      <c r="J17" s="23"/>
    </row>
    <row r="18" spans="1:10" x14ac:dyDescent="0.25">
      <c r="A18">
        <v>15</v>
      </c>
      <c r="B18" s="30" t="s">
        <v>299</v>
      </c>
      <c r="C18" s="65" t="s">
        <v>305</v>
      </c>
      <c r="D18" s="16">
        <f>'Consol JUNE2016'!D14</f>
        <v>207900</v>
      </c>
      <c r="E18" s="15" t="s">
        <v>29</v>
      </c>
      <c r="F18" s="15" t="s">
        <v>306</v>
      </c>
      <c r="G18" s="90">
        <f>'Consol JUNE2016'!G14</f>
        <v>70686</v>
      </c>
      <c r="H18" s="90"/>
      <c r="I18" s="83" t="s">
        <v>314</v>
      </c>
      <c r="J18" s="23"/>
    </row>
    <row r="19" spans="1:10" x14ac:dyDescent="0.25">
      <c r="A19">
        <v>16</v>
      </c>
      <c r="B19" s="69" t="s">
        <v>162</v>
      </c>
      <c r="C19" s="62" t="s">
        <v>152</v>
      </c>
      <c r="D19" s="55">
        <f>'Consol April2016'!D10+'Consol May2016'!D9+'Consol JUNE2016'!D10</f>
        <v>332729.3</v>
      </c>
      <c r="E19" s="56" t="s">
        <v>29</v>
      </c>
      <c r="F19" s="56"/>
      <c r="G19" s="88">
        <f>'Consol April2016'!G10+'Consol May2016'!G9+'Consol JUNE2016'!G10</f>
        <v>438040.72499999992</v>
      </c>
      <c r="H19" s="88"/>
      <c r="I19" s="79" t="s">
        <v>164</v>
      </c>
      <c r="J19" s="58" t="s">
        <v>48</v>
      </c>
    </row>
    <row r="20" spans="1:10" x14ac:dyDescent="0.25">
      <c r="A20">
        <v>17</v>
      </c>
      <c r="B20" s="69" t="s">
        <v>162</v>
      </c>
      <c r="C20" s="62" t="s">
        <v>165</v>
      </c>
      <c r="D20" s="55">
        <f>'Consol April2016'!D11+'Consol May2016'!D10+'Consol JUNE2016'!D11</f>
        <v>116978.91</v>
      </c>
      <c r="E20" s="56" t="s">
        <v>23</v>
      </c>
      <c r="F20" s="56"/>
      <c r="G20" s="88">
        <f>'Consol April2016'!G11+'Consol May2016'!G10+'Consol JUNE2016'!G11</f>
        <v>151349.7848999995</v>
      </c>
      <c r="H20" s="88"/>
      <c r="I20" s="79" t="s">
        <v>163</v>
      </c>
      <c r="J20" s="58" t="s">
        <v>48</v>
      </c>
    </row>
    <row r="21" spans="1:10" x14ac:dyDescent="0.25">
      <c r="A21">
        <v>18</v>
      </c>
      <c r="B21" s="30" t="s">
        <v>327</v>
      </c>
      <c r="C21" s="65" t="s">
        <v>323</v>
      </c>
      <c r="D21" s="105"/>
      <c r="E21" s="15"/>
      <c r="F21" s="101">
        <v>0.01</v>
      </c>
      <c r="G21" s="104">
        <v>224896</v>
      </c>
      <c r="H21" s="104"/>
      <c r="I21" s="92" t="s">
        <v>324</v>
      </c>
      <c r="J21" s="23" t="s">
        <v>48</v>
      </c>
    </row>
    <row r="22" spans="1:10" x14ac:dyDescent="0.25">
      <c r="A22">
        <v>19</v>
      </c>
      <c r="B22" s="30" t="s">
        <v>327</v>
      </c>
      <c r="C22" s="65" t="s">
        <v>325</v>
      </c>
      <c r="D22" s="105"/>
      <c r="E22" s="15"/>
      <c r="F22" s="101">
        <v>0.01</v>
      </c>
      <c r="G22" s="106">
        <v>62708</v>
      </c>
      <c r="H22" s="104"/>
      <c r="I22" s="92" t="s">
        <v>326</v>
      </c>
      <c r="J22" s="23" t="s">
        <v>48</v>
      </c>
    </row>
    <row r="23" spans="1:10" ht="21" x14ac:dyDescent="0.35">
      <c r="A23">
        <v>20</v>
      </c>
      <c r="B23" s="52"/>
      <c r="C23" s="203" t="s">
        <v>42</v>
      </c>
      <c r="D23" s="204"/>
      <c r="E23" s="66"/>
      <c r="F23" s="66"/>
      <c r="G23" s="91">
        <f>SUM(G4:G22)</f>
        <v>1311831.1362571414</v>
      </c>
      <c r="H23" s="91">
        <f>SUM(H4:H22)</f>
        <v>1800716.0635212837</v>
      </c>
      <c r="I23" s="82">
        <f>SUM(G23:H23)</f>
        <v>3112547.199778425</v>
      </c>
      <c r="J23" s="67"/>
    </row>
    <row r="27" spans="1:10" ht="30" x14ac:dyDescent="0.25">
      <c r="B27" s="51" t="s">
        <v>77</v>
      </c>
      <c r="C27" s="53" t="s">
        <v>32</v>
      </c>
      <c r="D27" s="53" t="s">
        <v>33</v>
      </c>
      <c r="E27" s="53" t="s">
        <v>24</v>
      </c>
      <c r="F27" s="53" t="s">
        <v>34</v>
      </c>
      <c r="G27" s="53" t="s">
        <v>35</v>
      </c>
      <c r="H27" s="53" t="s">
        <v>36</v>
      </c>
      <c r="I27" s="53" t="s">
        <v>37</v>
      </c>
      <c r="J27" s="51" t="s">
        <v>57</v>
      </c>
    </row>
    <row r="28" spans="1:10" ht="30" x14ac:dyDescent="0.25">
      <c r="B28" s="30" t="s">
        <v>299</v>
      </c>
      <c r="C28" s="62" t="s">
        <v>317</v>
      </c>
      <c r="D28" s="55">
        <f>'Consol JUNE2016'!D32</f>
        <v>0</v>
      </c>
      <c r="E28" s="56" t="s">
        <v>29</v>
      </c>
      <c r="F28" s="56">
        <v>1.32</v>
      </c>
      <c r="G28" s="88">
        <f>'Consol JUNE2016'!G32</f>
        <v>0</v>
      </c>
      <c r="H28" s="88"/>
      <c r="I28" s="81" t="s">
        <v>315</v>
      </c>
      <c r="J28" s="58" t="s">
        <v>48</v>
      </c>
    </row>
    <row r="29" spans="1:10" ht="30" x14ac:dyDescent="0.25">
      <c r="B29" s="30" t="s">
        <v>299</v>
      </c>
      <c r="C29" s="62" t="s">
        <v>316</v>
      </c>
      <c r="D29" s="55">
        <f>'Consol JUNE2016'!D31</f>
        <v>0</v>
      </c>
      <c r="E29" s="56" t="s">
        <v>29</v>
      </c>
      <c r="F29" s="56">
        <v>1.05</v>
      </c>
      <c r="G29" s="88">
        <f>'Consol JUNE2016'!G31</f>
        <v>0</v>
      </c>
      <c r="H29" s="88"/>
      <c r="I29" s="81" t="s">
        <v>318</v>
      </c>
      <c r="J29" s="58" t="s">
        <v>48</v>
      </c>
    </row>
    <row r="32" spans="1:10" x14ac:dyDescent="0.25">
      <c r="I32" s="115">
        <f>I23+'Consol JULY2016'!I16</f>
        <v>3797556.2366113421</v>
      </c>
    </row>
  </sheetData>
  <mergeCells count="1">
    <mergeCell ref="C23:D23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zoomScale="86" zoomScaleNormal="86" workbookViewId="0">
      <selection activeCell="G15" sqref="G15:G16"/>
    </sheetView>
  </sheetViews>
  <sheetFormatPr defaultColWidth="19.7109375" defaultRowHeight="15" x14ac:dyDescent="0.25"/>
  <cols>
    <col min="2" max="2" width="21.5703125" bestFit="1" customWidth="1"/>
    <col min="3" max="3" width="22.42578125" style="29" customWidth="1"/>
    <col min="4" max="4" width="13.85546875" bestFit="1" customWidth="1"/>
    <col min="5" max="5" width="14.140625" customWidth="1"/>
    <col min="6" max="6" width="18.140625" customWidth="1"/>
    <col min="7" max="7" width="20.42578125" bestFit="1" customWidth="1"/>
    <col min="8" max="8" width="15.140625" customWidth="1"/>
    <col min="9" max="9" width="22" bestFit="1" customWidth="1"/>
    <col min="10" max="10" width="10.85546875" customWidth="1"/>
  </cols>
  <sheetData>
    <row r="2" spans="2:10" ht="21" x14ac:dyDescent="0.35">
      <c r="B2" s="71" t="s">
        <v>298</v>
      </c>
    </row>
    <row r="3" spans="2:10" ht="27" x14ac:dyDescent="0.25">
      <c r="B3" s="5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ht="27" x14ac:dyDescent="0.25">
      <c r="B4" s="30" t="s">
        <v>94</v>
      </c>
      <c r="C4" s="65" t="s">
        <v>27</v>
      </c>
      <c r="D4" s="105">
        <f>June2016!G55</f>
        <v>20781.410000000003</v>
      </c>
      <c r="E4" s="15" t="s">
        <v>23</v>
      </c>
      <c r="F4" s="15" t="s">
        <v>56</v>
      </c>
      <c r="G4" s="104"/>
      <c r="H4" s="104">
        <f>June2016!K55</f>
        <v>156034.32298103644</v>
      </c>
      <c r="I4" s="92" t="s">
        <v>28</v>
      </c>
      <c r="J4" s="23" t="s">
        <v>48</v>
      </c>
    </row>
    <row r="5" spans="2:10" x14ac:dyDescent="0.25">
      <c r="B5" s="30" t="s">
        <v>95</v>
      </c>
      <c r="C5" s="65" t="s">
        <v>27</v>
      </c>
      <c r="D5" s="105">
        <f>June2016!G74</f>
        <v>5009.4000000000005</v>
      </c>
      <c r="E5" s="15" t="s">
        <v>23</v>
      </c>
      <c r="F5" s="15" t="s">
        <v>96</v>
      </c>
      <c r="G5" s="104">
        <f>June2016!E80</f>
        <v>12273.029999999944</v>
      </c>
      <c r="H5" s="104">
        <f>June2016!K78</f>
        <v>140692.43079754608</v>
      </c>
      <c r="I5" s="92" t="s">
        <v>40</v>
      </c>
      <c r="J5" s="23" t="s">
        <v>48</v>
      </c>
    </row>
    <row r="6" spans="2:10" ht="27" x14ac:dyDescent="0.25">
      <c r="B6" s="30" t="s">
        <v>98</v>
      </c>
      <c r="C6" s="65" t="s">
        <v>99</v>
      </c>
      <c r="D6" s="105">
        <f>June2016!G126</f>
        <v>1821365</v>
      </c>
      <c r="E6" s="15" t="s">
        <v>39</v>
      </c>
      <c r="F6" s="15" t="s">
        <v>100</v>
      </c>
      <c r="G6" s="104"/>
      <c r="H6" s="104">
        <f>June2016!K126</f>
        <v>30490.399999999936</v>
      </c>
      <c r="I6" s="92" t="s">
        <v>101</v>
      </c>
      <c r="J6" s="23" t="s">
        <v>48</v>
      </c>
    </row>
    <row r="7" spans="2:10" ht="27" x14ac:dyDescent="0.25">
      <c r="B7" s="30" t="s">
        <v>98</v>
      </c>
      <c r="C7" s="65" t="s">
        <v>102</v>
      </c>
      <c r="D7" s="105">
        <f>June2016!G154</f>
        <v>21030.6</v>
      </c>
      <c r="E7" s="15" t="s">
        <v>23</v>
      </c>
      <c r="F7" s="15" t="s">
        <v>103</v>
      </c>
      <c r="G7" s="104"/>
      <c r="H7" s="104">
        <f>June2016!K154</f>
        <v>53372.117999999951</v>
      </c>
      <c r="I7" s="92" t="s">
        <v>101</v>
      </c>
      <c r="J7" s="23" t="s">
        <v>48</v>
      </c>
    </row>
    <row r="8" spans="2:10" ht="30" x14ac:dyDescent="0.25">
      <c r="B8" s="30" t="s">
        <v>75</v>
      </c>
      <c r="C8" s="62" t="s">
        <v>304</v>
      </c>
      <c r="D8" s="105">
        <f>June2016!D233</f>
        <v>1236240</v>
      </c>
      <c r="E8" s="15" t="s">
        <v>29</v>
      </c>
      <c r="F8" s="15" t="s">
        <v>303</v>
      </c>
      <c r="G8" s="104"/>
      <c r="H8" s="104">
        <f>June2016!G233</f>
        <v>278154.06953851739</v>
      </c>
      <c r="I8" s="92"/>
      <c r="J8" s="23" t="s">
        <v>49</v>
      </c>
    </row>
    <row r="9" spans="2:10" ht="27" x14ac:dyDescent="0.25">
      <c r="B9" s="30" t="s">
        <v>218</v>
      </c>
      <c r="C9" s="65" t="s">
        <v>219</v>
      </c>
      <c r="D9" s="105">
        <f>June2016!D231</f>
        <v>1611700</v>
      </c>
      <c r="E9" s="15" t="s">
        <v>25</v>
      </c>
      <c r="F9" s="15" t="s">
        <v>297</v>
      </c>
      <c r="G9" s="104">
        <f>June2016!G231</f>
        <v>71950.89285714287</v>
      </c>
      <c r="H9" s="104"/>
      <c r="I9" s="92"/>
      <c r="J9" s="23" t="s">
        <v>49</v>
      </c>
    </row>
    <row r="10" spans="2:10" x14ac:dyDescent="0.25">
      <c r="B10" s="30" t="s">
        <v>162</v>
      </c>
      <c r="C10" s="65" t="s">
        <v>152</v>
      </c>
      <c r="D10" s="105">
        <f>June2016!G166</f>
        <v>3481.3</v>
      </c>
      <c r="E10" s="15" t="s">
        <v>29</v>
      </c>
      <c r="F10" s="15"/>
      <c r="G10" s="104">
        <f>June2016!K166</f>
        <v>4340.8749999999836</v>
      </c>
      <c r="H10" s="104"/>
      <c r="I10" s="92" t="s">
        <v>164</v>
      </c>
      <c r="J10" s="23" t="s">
        <v>48</v>
      </c>
    </row>
    <row r="11" spans="2:10" x14ac:dyDescent="0.25">
      <c r="B11" s="30" t="s">
        <v>162</v>
      </c>
      <c r="C11" s="65" t="s">
        <v>165</v>
      </c>
      <c r="D11" s="105">
        <f>June2016!G154+June2016!G166</f>
        <v>24511.899999999998</v>
      </c>
      <c r="E11" s="15"/>
      <c r="F11" s="15"/>
      <c r="G11" s="104">
        <f>June2016!N154+June2016!K166</f>
        <v>26229.428199999893</v>
      </c>
      <c r="H11" s="104"/>
      <c r="I11" s="92" t="s">
        <v>163</v>
      </c>
      <c r="J11" s="23" t="s">
        <v>48</v>
      </c>
    </row>
    <row r="12" spans="2:10" ht="27" x14ac:dyDescent="0.25">
      <c r="B12" s="30" t="s">
        <v>308</v>
      </c>
      <c r="C12" s="72" t="s">
        <v>30</v>
      </c>
      <c r="D12" s="105">
        <f>June2016!G183</f>
        <v>993</v>
      </c>
      <c r="E12" s="15" t="s">
        <v>23</v>
      </c>
      <c r="F12" s="15" t="s">
        <v>307</v>
      </c>
      <c r="G12" s="104">
        <f>June2016!K183</f>
        <v>6498.9000000000106</v>
      </c>
      <c r="H12" s="104"/>
      <c r="I12" s="92" t="s">
        <v>97</v>
      </c>
      <c r="J12" s="23" t="s">
        <v>48</v>
      </c>
    </row>
    <row r="13" spans="2:10" x14ac:dyDescent="0.25">
      <c r="B13" s="30" t="s">
        <v>299</v>
      </c>
      <c r="C13" s="65" t="s">
        <v>300</v>
      </c>
      <c r="D13" s="105">
        <f>June2016!G190</f>
        <v>37260</v>
      </c>
      <c r="E13" s="15" t="s">
        <v>29</v>
      </c>
      <c r="F13" s="15" t="s">
        <v>302</v>
      </c>
      <c r="G13" s="104">
        <f>June2016!K191</f>
        <v>20902.86</v>
      </c>
      <c r="H13" s="104"/>
      <c r="I13" s="92" t="s">
        <v>301</v>
      </c>
      <c r="J13" s="23" t="s">
        <v>48</v>
      </c>
    </row>
    <row r="14" spans="2:10" x14ac:dyDescent="0.25">
      <c r="B14" s="30" t="s">
        <v>299</v>
      </c>
      <c r="C14" s="65" t="s">
        <v>305</v>
      </c>
      <c r="D14" s="105">
        <f>June2016!G200</f>
        <v>207900</v>
      </c>
      <c r="E14" s="15" t="s">
        <v>29</v>
      </c>
      <c r="F14" s="15" t="s">
        <v>306</v>
      </c>
      <c r="G14" s="104">
        <f>June2016!K201</f>
        <v>70686</v>
      </c>
      <c r="H14" s="104"/>
      <c r="I14" s="92" t="s">
        <v>314</v>
      </c>
      <c r="J14" s="23" t="s">
        <v>48</v>
      </c>
    </row>
    <row r="15" spans="2:10" x14ac:dyDescent="0.25">
      <c r="B15" s="30" t="s">
        <v>327</v>
      </c>
      <c r="C15" s="65" t="s">
        <v>323</v>
      </c>
      <c r="D15" s="105"/>
      <c r="E15" s="15"/>
      <c r="F15" s="101">
        <v>0.01</v>
      </c>
      <c r="G15" s="104">
        <v>224896</v>
      </c>
      <c r="H15" s="104"/>
      <c r="I15" s="92" t="s">
        <v>324</v>
      </c>
      <c r="J15" s="23" t="s">
        <v>48</v>
      </c>
    </row>
    <row r="16" spans="2:10" x14ac:dyDescent="0.25">
      <c r="B16" s="30" t="s">
        <v>327</v>
      </c>
      <c r="C16" s="65" t="s">
        <v>325</v>
      </c>
      <c r="D16" s="105"/>
      <c r="E16" s="15"/>
      <c r="F16" s="101">
        <v>0.01</v>
      </c>
      <c r="G16" s="106">
        <v>62708</v>
      </c>
      <c r="H16" s="104"/>
      <c r="I16" s="92" t="s">
        <v>326</v>
      </c>
      <c r="J16" s="23" t="s">
        <v>48</v>
      </c>
    </row>
    <row r="17" spans="2:10" ht="30" x14ac:dyDescent="0.25">
      <c r="B17" s="62" t="s">
        <v>521</v>
      </c>
      <c r="C17" s="62" t="s">
        <v>47</v>
      </c>
      <c r="D17" s="84">
        <f>Sheet1!E21</f>
        <v>170650</v>
      </c>
      <c r="E17" s="56" t="s">
        <v>29</v>
      </c>
      <c r="F17" s="56" t="s">
        <v>55</v>
      </c>
      <c r="G17" s="84">
        <f>Sheet1!BC21</f>
        <v>6034.5</v>
      </c>
      <c r="H17" s="84">
        <f>Sheet1!BA21</f>
        <v>28212.499999999993</v>
      </c>
      <c r="I17" s="96" t="s">
        <v>41</v>
      </c>
      <c r="J17" s="58" t="s">
        <v>48</v>
      </c>
    </row>
    <row r="18" spans="2:10" ht="19.5" x14ac:dyDescent="0.25">
      <c r="B18" s="19"/>
      <c r="C18" s="201" t="s">
        <v>42</v>
      </c>
      <c r="D18" s="202"/>
      <c r="E18" s="31"/>
      <c r="F18" s="31"/>
      <c r="G18" s="93">
        <f>SUM(G4:G17)</f>
        <v>506520.48605714273</v>
      </c>
      <c r="H18" s="102">
        <f>SUM(H4:H17)</f>
        <v>686955.84131709975</v>
      </c>
      <c r="I18" s="94">
        <f>G18+H18</f>
        <v>1193476.3273742425</v>
      </c>
      <c r="J18" s="23"/>
    </row>
    <row r="20" spans="2:10" x14ac:dyDescent="0.25">
      <c r="D20">
        <v>1236240</v>
      </c>
    </row>
    <row r="22" spans="2:10" ht="21" x14ac:dyDescent="0.35">
      <c r="B22" s="71" t="s">
        <v>298</v>
      </c>
    </row>
    <row r="23" spans="2:10" ht="27" x14ac:dyDescent="0.25">
      <c r="B23" s="5" t="s">
        <v>77</v>
      </c>
      <c r="C23" s="27" t="s">
        <v>32</v>
      </c>
      <c r="D23" s="22" t="s">
        <v>33</v>
      </c>
      <c r="E23" s="22" t="s">
        <v>24</v>
      </c>
      <c r="F23" s="22" t="s">
        <v>34</v>
      </c>
      <c r="G23" s="22" t="s">
        <v>35</v>
      </c>
      <c r="H23" s="22" t="s">
        <v>36</v>
      </c>
      <c r="I23" s="21" t="s">
        <v>37</v>
      </c>
      <c r="J23" s="1" t="s">
        <v>57</v>
      </c>
    </row>
    <row r="24" spans="2:10" ht="40.5" x14ac:dyDescent="0.25">
      <c r="B24" s="30" t="s">
        <v>299</v>
      </c>
      <c r="C24" s="65" t="s">
        <v>309</v>
      </c>
      <c r="D24" s="86">
        <f>June2016!G212</f>
        <v>74368</v>
      </c>
      <c r="E24" s="15" t="s">
        <v>23</v>
      </c>
      <c r="F24" s="15">
        <v>1.05</v>
      </c>
      <c r="G24" s="86">
        <f>June2016!K212</f>
        <v>78086.400000000052</v>
      </c>
      <c r="H24" s="95"/>
      <c r="I24" s="92" t="s">
        <v>311</v>
      </c>
      <c r="J24" s="23" t="s">
        <v>48</v>
      </c>
    </row>
    <row r="25" spans="2:10" ht="27" x14ac:dyDescent="0.25">
      <c r="B25" s="30" t="s">
        <v>299</v>
      </c>
      <c r="C25" s="65" t="s">
        <v>310</v>
      </c>
      <c r="D25" s="86">
        <f>June2016!G224</f>
        <v>297472</v>
      </c>
      <c r="E25" s="15" t="s">
        <v>23</v>
      </c>
      <c r="F25" s="15">
        <v>1.32</v>
      </c>
      <c r="G25" s="86">
        <f>June2016!K224</f>
        <v>392663.03999999998</v>
      </c>
      <c r="H25" s="95"/>
      <c r="I25" s="92" t="s">
        <v>312</v>
      </c>
      <c r="J25" s="23" t="s">
        <v>48</v>
      </c>
    </row>
    <row r="26" spans="2:10" ht="19.5" x14ac:dyDescent="0.25">
      <c r="B26" s="19"/>
      <c r="C26" s="201" t="s">
        <v>42</v>
      </c>
      <c r="D26" s="202"/>
      <c r="E26" s="31"/>
      <c r="F26" s="31"/>
      <c r="G26" s="93">
        <f>SUM(G24:G25)</f>
        <v>470749.44000000006</v>
      </c>
      <c r="H26" s="107"/>
      <c r="I26" s="94">
        <f>G26+H26</f>
        <v>470749.44000000006</v>
      </c>
      <c r="J26" s="23"/>
    </row>
  </sheetData>
  <mergeCells count="2">
    <mergeCell ref="C18:D18"/>
    <mergeCell ref="C26:D2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0"/>
  <sheetViews>
    <sheetView topLeftCell="C210" zoomScaleNormal="100" workbookViewId="0">
      <selection activeCell="L19" sqref="L19:M19"/>
    </sheetView>
  </sheetViews>
  <sheetFormatPr defaultRowHeight="15" x14ac:dyDescent="0.25"/>
  <cols>
    <col min="1" max="1" width="12" customWidth="1"/>
    <col min="2" max="2" width="11" bestFit="1" customWidth="1"/>
    <col min="3" max="3" width="10.140625" customWidth="1"/>
    <col min="4" max="4" width="21.5703125" bestFit="1" customWidth="1"/>
    <col min="5" max="5" width="45.85546875" bestFit="1" customWidth="1"/>
    <col min="6" max="6" width="10" customWidth="1"/>
    <col min="8" max="8" width="19.140625" customWidth="1"/>
    <col min="9" max="9" width="13.42578125" bestFit="1" customWidth="1"/>
    <col min="10" max="10" width="10.42578125" bestFit="1" customWidth="1"/>
    <col min="11" max="11" width="18.42578125" bestFit="1" customWidth="1"/>
    <col min="12" max="12" width="13.5703125" customWidth="1"/>
    <col min="13" max="13" width="11.5703125" customWidth="1"/>
  </cols>
  <sheetData>
    <row r="1" spans="1:17" ht="45" x14ac:dyDescent="0.25">
      <c r="A1" s="1"/>
      <c r="B1" s="1" t="s">
        <v>172</v>
      </c>
      <c r="C1" s="1" t="s">
        <v>168</v>
      </c>
      <c r="D1" s="1" t="s">
        <v>167</v>
      </c>
      <c r="E1" s="1" t="s">
        <v>169</v>
      </c>
      <c r="F1" s="1"/>
      <c r="G1" s="1" t="s">
        <v>22</v>
      </c>
      <c r="H1" s="25" t="s">
        <v>61</v>
      </c>
      <c r="I1" s="25" t="s">
        <v>62</v>
      </c>
      <c r="J1" s="12" t="s">
        <v>52</v>
      </c>
      <c r="K1" s="12" t="s">
        <v>21</v>
      </c>
      <c r="L1" s="17" t="s">
        <v>53</v>
      </c>
      <c r="M1" s="17" t="s">
        <v>54</v>
      </c>
      <c r="N1" s="17" t="s">
        <v>1</v>
      </c>
      <c r="O1" s="17" t="s">
        <v>2</v>
      </c>
      <c r="P1" s="17" t="s">
        <v>3</v>
      </c>
      <c r="Q1" s="17" t="s">
        <v>4</v>
      </c>
    </row>
    <row r="2" spans="1:17" x14ac:dyDescent="0.25">
      <c r="A2" s="1" t="s">
        <v>261</v>
      </c>
      <c r="B2" s="1">
        <v>5000229928</v>
      </c>
      <c r="C2" s="1"/>
      <c r="D2" s="1">
        <v>1000590</v>
      </c>
      <c r="E2" s="1" t="s">
        <v>10</v>
      </c>
      <c r="F2" s="1" t="s">
        <v>262</v>
      </c>
      <c r="G2" s="3">
        <v>1238.32</v>
      </c>
      <c r="H2" s="1">
        <v>152.6</v>
      </c>
      <c r="I2" s="3">
        <v>153.4</v>
      </c>
      <c r="J2" s="3">
        <f>I2-H2</f>
        <v>0.80000000000001137</v>
      </c>
      <c r="K2" s="1">
        <f>J2*G2</f>
        <v>990.65600000001405</v>
      </c>
      <c r="L2" s="9">
        <v>15.4</v>
      </c>
      <c r="M2" s="9">
        <v>14.43</v>
      </c>
      <c r="N2" s="7">
        <f>G2/L2</f>
        <v>80.410389610389601</v>
      </c>
      <c r="O2" s="7">
        <f>G2/M2</f>
        <v>85.815661815661812</v>
      </c>
      <c r="P2" s="7">
        <f>O2-N2</f>
        <v>5.4052722052722117</v>
      </c>
      <c r="Q2" s="10">
        <f>P2*L2*I2</f>
        <v>12769.198846846863</v>
      </c>
    </row>
    <row r="3" spans="1:17" x14ac:dyDescent="0.25">
      <c r="A3" s="1" t="s">
        <v>263</v>
      </c>
      <c r="B3" s="1">
        <v>5000224187</v>
      </c>
      <c r="C3" s="1"/>
      <c r="D3" s="1">
        <v>1000590</v>
      </c>
      <c r="E3" s="1" t="s">
        <v>10</v>
      </c>
      <c r="F3" s="1" t="s">
        <v>264</v>
      </c>
      <c r="G3" s="1">
        <v>515.95000000000005</v>
      </c>
      <c r="H3" s="1">
        <v>152.6</v>
      </c>
      <c r="I3" s="3">
        <v>153.4</v>
      </c>
      <c r="J3" s="3">
        <f t="shared" ref="J3:J49" si="0">I3-H3</f>
        <v>0.80000000000001137</v>
      </c>
      <c r="K3" s="1">
        <f t="shared" ref="K3:K49" si="1">J3*G3</f>
        <v>412.7600000000059</v>
      </c>
      <c r="L3" s="9">
        <v>15.4</v>
      </c>
      <c r="M3" s="9">
        <v>14.43</v>
      </c>
      <c r="N3" s="7">
        <f t="shared" ref="N3:N20" si="2">G3/L3</f>
        <v>33.503246753246756</v>
      </c>
      <c r="O3" s="7">
        <f t="shared" ref="O3:O20" si="3">G3/M3</f>
        <v>35.755370755370762</v>
      </c>
      <c r="P3" s="7">
        <f t="shared" ref="P3:P20" si="4">O3-N3</f>
        <v>2.2521240021240061</v>
      </c>
      <c r="Q3" s="10">
        <f t="shared" ref="Q3:Q20" si="5">P3*L3*I3</f>
        <v>5320.3276576576673</v>
      </c>
    </row>
    <row r="4" spans="1:17" x14ac:dyDescent="0.25">
      <c r="A4" s="1" t="s">
        <v>263</v>
      </c>
      <c r="B4" s="1">
        <v>5000224190</v>
      </c>
      <c r="C4" s="1"/>
      <c r="D4" s="1">
        <v>1000590</v>
      </c>
      <c r="E4" s="1" t="s">
        <v>10</v>
      </c>
      <c r="F4" s="1" t="s">
        <v>264</v>
      </c>
      <c r="G4" s="1">
        <v>515.95000000000005</v>
      </c>
      <c r="H4" s="1">
        <v>152.6</v>
      </c>
      <c r="I4" s="3">
        <v>153.4</v>
      </c>
      <c r="J4" s="3">
        <f t="shared" si="0"/>
        <v>0.80000000000001137</v>
      </c>
      <c r="K4" s="1">
        <f t="shared" si="1"/>
        <v>412.7600000000059</v>
      </c>
      <c r="L4" s="9">
        <v>15.4</v>
      </c>
      <c r="M4" s="9">
        <v>14.43</v>
      </c>
      <c r="N4" s="7">
        <f t="shared" si="2"/>
        <v>33.503246753246756</v>
      </c>
      <c r="O4" s="7">
        <f t="shared" si="3"/>
        <v>35.755370755370762</v>
      </c>
      <c r="P4" s="7">
        <f t="shared" si="4"/>
        <v>2.2521240021240061</v>
      </c>
      <c r="Q4" s="10">
        <f t="shared" si="5"/>
        <v>5320.3276576576673</v>
      </c>
    </row>
    <row r="5" spans="1:17" x14ac:dyDescent="0.25">
      <c r="A5" s="1" t="s">
        <v>261</v>
      </c>
      <c r="B5" s="1">
        <v>5000229928</v>
      </c>
      <c r="C5" s="1"/>
      <c r="D5" s="1">
        <v>1000618</v>
      </c>
      <c r="E5" s="1" t="s">
        <v>8</v>
      </c>
      <c r="F5" s="1" t="s">
        <v>262</v>
      </c>
      <c r="G5" s="1">
        <v>30.22</v>
      </c>
      <c r="H5" s="1">
        <v>152.6</v>
      </c>
      <c r="I5" s="3">
        <v>153.4</v>
      </c>
      <c r="J5" s="3">
        <f t="shared" si="0"/>
        <v>0.80000000000001137</v>
      </c>
      <c r="K5" s="1">
        <f t="shared" si="1"/>
        <v>24.176000000000343</v>
      </c>
      <c r="L5" s="9">
        <v>15.4</v>
      </c>
      <c r="M5" s="9">
        <v>14.43</v>
      </c>
      <c r="N5" s="7">
        <f t="shared" si="2"/>
        <v>1.9623376623376623</v>
      </c>
      <c r="O5" s="7">
        <f t="shared" si="3"/>
        <v>2.0942480942480941</v>
      </c>
      <c r="P5" s="7">
        <f t="shared" si="4"/>
        <v>0.13191043191043184</v>
      </c>
      <c r="Q5" s="10">
        <f t="shared" si="5"/>
        <v>311.61992792792779</v>
      </c>
    </row>
    <row r="6" spans="1:17" x14ac:dyDescent="0.25">
      <c r="A6" s="1" t="s">
        <v>261</v>
      </c>
      <c r="B6" s="1">
        <v>5000229928</v>
      </c>
      <c r="C6" s="1"/>
      <c r="D6" s="1">
        <v>1000618</v>
      </c>
      <c r="E6" s="1" t="s">
        <v>8</v>
      </c>
      <c r="F6" s="1" t="s">
        <v>262</v>
      </c>
      <c r="G6" s="1">
        <v>880</v>
      </c>
      <c r="H6" s="1">
        <v>152.6</v>
      </c>
      <c r="I6" s="3">
        <v>153.4</v>
      </c>
      <c r="J6" s="3">
        <f t="shared" si="0"/>
        <v>0.80000000000001137</v>
      </c>
      <c r="K6" s="1">
        <f t="shared" si="1"/>
        <v>704.00000000001</v>
      </c>
      <c r="L6" s="9">
        <v>15.4</v>
      </c>
      <c r="M6" s="9">
        <v>14.43</v>
      </c>
      <c r="N6" s="7">
        <f t="shared" si="2"/>
        <v>57.142857142857139</v>
      </c>
      <c r="O6" s="7">
        <f t="shared" si="3"/>
        <v>60.984060984060989</v>
      </c>
      <c r="P6" s="7">
        <f t="shared" si="4"/>
        <v>3.8412038412038498</v>
      </c>
      <c r="Q6" s="10">
        <f t="shared" si="5"/>
        <v>9074.3063063063273</v>
      </c>
    </row>
    <row r="7" spans="1:17" x14ac:dyDescent="0.25">
      <c r="A7" s="1" t="s">
        <v>261</v>
      </c>
      <c r="B7" s="1">
        <v>5000229928</v>
      </c>
      <c r="C7" s="1"/>
      <c r="D7" s="1">
        <v>1000818</v>
      </c>
      <c r="E7" s="1" t="s">
        <v>6</v>
      </c>
      <c r="F7" s="1" t="s">
        <v>262</v>
      </c>
      <c r="G7" s="1">
        <v>950.34</v>
      </c>
      <c r="H7" s="1">
        <v>152.6</v>
      </c>
      <c r="I7" s="3">
        <v>153.4</v>
      </c>
      <c r="J7" s="3">
        <f t="shared" si="0"/>
        <v>0.80000000000001137</v>
      </c>
      <c r="K7" s="1">
        <f t="shared" si="1"/>
        <v>760.27200000001085</v>
      </c>
      <c r="L7" s="3">
        <v>20.11</v>
      </c>
      <c r="M7" s="7">
        <v>19.600000000000001</v>
      </c>
      <c r="N7" s="7">
        <f t="shared" si="2"/>
        <v>47.257086026852313</v>
      </c>
      <c r="O7" s="7">
        <f t="shared" si="3"/>
        <v>48.486734693877551</v>
      </c>
      <c r="P7" s="7">
        <f t="shared" si="4"/>
        <v>1.2296486670252378</v>
      </c>
      <c r="Q7" s="10">
        <f t="shared" si="5"/>
        <v>3793.3112020408134</v>
      </c>
    </row>
    <row r="8" spans="1:17" x14ac:dyDescent="0.25">
      <c r="A8" s="1" t="s">
        <v>265</v>
      </c>
      <c r="B8" s="1">
        <v>5000228967</v>
      </c>
      <c r="C8" s="1"/>
      <c r="D8" s="1">
        <v>1000818</v>
      </c>
      <c r="E8" s="1" t="s">
        <v>6</v>
      </c>
      <c r="F8" s="1" t="s">
        <v>266</v>
      </c>
      <c r="G8" s="2">
        <v>1570</v>
      </c>
      <c r="H8" s="1">
        <v>152.6</v>
      </c>
      <c r="I8" s="3">
        <v>153.4</v>
      </c>
      <c r="J8" s="3">
        <f t="shared" si="0"/>
        <v>0.80000000000001137</v>
      </c>
      <c r="K8" s="1">
        <f t="shared" si="1"/>
        <v>1256.0000000000177</v>
      </c>
      <c r="L8" s="3">
        <v>20.11</v>
      </c>
      <c r="M8" s="7">
        <v>19.600000000000001</v>
      </c>
      <c r="N8" s="7">
        <f t="shared" si="2"/>
        <v>78.070611636001985</v>
      </c>
      <c r="O8" s="7">
        <f t="shared" si="3"/>
        <v>80.102040816326522</v>
      </c>
      <c r="P8" s="7">
        <f t="shared" si="4"/>
        <v>2.0314291803245368</v>
      </c>
      <c r="Q8" s="10">
        <f t="shared" si="5"/>
        <v>6266.7030612244753</v>
      </c>
    </row>
    <row r="9" spans="1:17" x14ac:dyDescent="0.25">
      <c r="A9" s="1" t="s">
        <v>265</v>
      </c>
      <c r="B9" s="1">
        <v>5000228967</v>
      </c>
      <c r="C9" s="1"/>
      <c r="D9" s="1">
        <v>1000818</v>
      </c>
      <c r="E9" s="1" t="s">
        <v>6</v>
      </c>
      <c r="F9" s="1" t="s">
        <v>266</v>
      </c>
      <c r="G9" s="1">
        <v>10.87</v>
      </c>
      <c r="H9" s="1">
        <v>152.6</v>
      </c>
      <c r="I9" s="3">
        <v>153.4</v>
      </c>
      <c r="J9" s="3">
        <f t="shared" si="0"/>
        <v>0.80000000000001137</v>
      </c>
      <c r="K9" s="1">
        <f t="shared" si="1"/>
        <v>8.6960000000001223</v>
      </c>
      <c r="L9" s="3">
        <v>20.11</v>
      </c>
      <c r="M9" s="7">
        <v>19.600000000000001</v>
      </c>
      <c r="N9" s="7">
        <f t="shared" si="2"/>
        <v>0.54052710094480361</v>
      </c>
      <c r="O9" s="7">
        <f t="shared" si="3"/>
        <v>0.55459183673469381</v>
      </c>
      <c r="P9" s="7">
        <f t="shared" si="4"/>
        <v>1.4064735789890204E-2</v>
      </c>
      <c r="Q9" s="10">
        <f t="shared" si="5"/>
        <v>43.387937755101753</v>
      </c>
    </row>
    <row r="10" spans="1:17" x14ac:dyDescent="0.25">
      <c r="A10" s="1" t="s">
        <v>263</v>
      </c>
      <c r="B10" s="1">
        <v>5000224241</v>
      </c>
      <c r="C10" s="1"/>
      <c r="D10" s="1">
        <v>1000820</v>
      </c>
      <c r="E10" s="1" t="s">
        <v>174</v>
      </c>
      <c r="F10" s="1" t="s">
        <v>267</v>
      </c>
      <c r="G10" s="1">
        <v>122.31</v>
      </c>
      <c r="H10" s="1">
        <v>152.6</v>
      </c>
      <c r="I10" s="3">
        <v>153.4</v>
      </c>
      <c r="J10" s="3">
        <f t="shared" si="0"/>
        <v>0.80000000000001137</v>
      </c>
      <c r="K10" s="1">
        <f t="shared" si="1"/>
        <v>97.848000000001392</v>
      </c>
      <c r="L10" s="3">
        <v>20.11</v>
      </c>
      <c r="M10" s="7">
        <v>19.600000000000001</v>
      </c>
      <c r="N10" s="7">
        <f t="shared" si="2"/>
        <v>6.0820487319741421</v>
      </c>
      <c r="O10" s="7">
        <f t="shared" si="3"/>
        <v>6.2403061224489793</v>
      </c>
      <c r="P10" s="7">
        <f t="shared" si="4"/>
        <v>0.15825739047483722</v>
      </c>
      <c r="Q10" s="10">
        <f t="shared" si="5"/>
        <v>488.20410918367304</v>
      </c>
    </row>
    <row r="11" spans="1:17" x14ac:dyDescent="0.25">
      <c r="A11" s="1" t="s">
        <v>263</v>
      </c>
      <c r="B11" s="1">
        <v>5000224197</v>
      </c>
      <c r="C11" s="1"/>
      <c r="D11" s="1">
        <v>1000820</v>
      </c>
      <c r="E11" s="1" t="s">
        <v>174</v>
      </c>
      <c r="F11" s="1" t="s">
        <v>267</v>
      </c>
      <c r="G11" s="1">
        <v>122.31</v>
      </c>
      <c r="H11" s="1">
        <v>152.6</v>
      </c>
      <c r="I11" s="3">
        <v>153.4</v>
      </c>
      <c r="J11" s="3">
        <f t="shared" si="0"/>
        <v>0.80000000000001137</v>
      </c>
      <c r="K11" s="1">
        <f t="shared" si="1"/>
        <v>97.848000000001392</v>
      </c>
      <c r="L11" s="3">
        <v>20.11</v>
      </c>
      <c r="M11" s="7">
        <v>19.600000000000001</v>
      </c>
      <c r="N11" s="7">
        <f t="shared" si="2"/>
        <v>6.0820487319741421</v>
      </c>
      <c r="O11" s="7">
        <f t="shared" si="3"/>
        <v>6.2403061224489793</v>
      </c>
      <c r="P11" s="7">
        <f t="shared" si="4"/>
        <v>0.15825739047483722</v>
      </c>
      <c r="Q11" s="10">
        <f t="shared" si="5"/>
        <v>488.20410918367304</v>
      </c>
    </row>
    <row r="12" spans="1:17" x14ac:dyDescent="0.25">
      <c r="A12" s="1" t="s">
        <v>263</v>
      </c>
      <c r="B12" s="1">
        <v>5000224179</v>
      </c>
      <c r="C12" s="1"/>
      <c r="D12" s="1">
        <v>1000820</v>
      </c>
      <c r="E12" s="1" t="s">
        <v>174</v>
      </c>
      <c r="F12" s="1" t="s">
        <v>264</v>
      </c>
      <c r="G12" s="1">
        <v>980</v>
      </c>
      <c r="H12" s="1">
        <v>152.6</v>
      </c>
      <c r="I12" s="3">
        <v>153.4</v>
      </c>
      <c r="J12" s="3">
        <f t="shared" si="0"/>
        <v>0.80000000000001137</v>
      </c>
      <c r="K12" s="1">
        <f t="shared" si="1"/>
        <v>784.00000000001114</v>
      </c>
      <c r="L12" s="3">
        <v>20.11</v>
      </c>
      <c r="M12" s="7">
        <v>19.600000000000001</v>
      </c>
      <c r="N12" s="7">
        <f t="shared" si="2"/>
        <v>48.731974142217801</v>
      </c>
      <c r="O12" s="7">
        <f t="shared" si="3"/>
        <v>49.999999999999993</v>
      </c>
      <c r="P12" s="7">
        <f t="shared" si="4"/>
        <v>1.2680258577821917</v>
      </c>
      <c r="Q12" s="10">
        <f t="shared" si="5"/>
        <v>3911.6999999999812</v>
      </c>
    </row>
    <row r="13" spans="1:17" x14ac:dyDescent="0.25">
      <c r="A13" s="1" t="s">
        <v>263</v>
      </c>
      <c r="B13" s="1">
        <v>5000224183</v>
      </c>
      <c r="C13" s="1"/>
      <c r="D13" s="1">
        <v>1000820</v>
      </c>
      <c r="E13" s="1" t="s">
        <v>174</v>
      </c>
      <c r="F13" s="1" t="s">
        <v>264</v>
      </c>
      <c r="G13" s="1">
        <v>239.64</v>
      </c>
      <c r="H13" s="1">
        <v>152.6</v>
      </c>
      <c r="I13" s="3">
        <v>153.4</v>
      </c>
      <c r="J13" s="3">
        <f t="shared" si="0"/>
        <v>0.80000000000001137</v>
      </c>
      <c r="K13" s="1">
        <f t="shared" si="1"/>
        <v>191.71200000000272</v>
      </c>
      <c r="L13" s="3">
        <v>20.11</v>
      </c>
      <c r="M13" s="7">
        <v>19.600000000000001</v>
      </c>
      <c r="N13" s="7">
        <f t="shared" si="2"/>
        <v>11.916459472899055</v>
      </c>
      <c r="O13" s="7">
        <f t="shared" si="3"/>
        <v>12.226530612244897</v>
      </c>
      <c r="P13" s="7">
        <f t="shared" si="4"/>
        <v>0.31007113934584218</v>
      </c>
      <c r="Q13" s="10">
        <f t="shared" si="5"/>
        <v>956.53039591836568</v>
      </c>
    </row>
    <row r="14" spans="1:17" x14ac:dyDescent="0.25">
      <c r="A14" s="1" t="s">
        <v>263</v>
      </c>
      <c r="B14" s="1">
        <v>5000224197</v>
      </c>
      <c r="C14" s="1"/>
      <c r="D14" s="1">
        <v>1000820</v>
      </c>
      <c r="E14" s="1" t="s">
        <v>174</v>
      </c>
      <c r="F14" s="1" t="s">
        <v>267</v>
      </c>
      <c r="G14" s="1">
        <v>391.74</v>
      </c>
      <c r="H14" s="1">
        <v>152.6</v>
      </c>
      <c r="I14" s="3">
        <v>153.4</v>
      </c>
      <c r="J14" s="3">
        <f t="shared" si="0"/>
        <v>0.80000000000001137</v>
      </c>
      <c r="K14" s="1">
        <f t="shared" si="1"/>
        <v>313.39200000000449</v>
      </c>
      <c r="L14" s="3">
        <v>20.11</v>
      </c>
      <c r="M14" s="7">
        <v>19.600000000000001</v>
      </c>
      <c r="N14" s="7">
        <f t="shared" si="2"/>
        <v>19.479860765788167</v>
      </c>
      <c r="O14" s="7">
        <f t="shared" si="3"/>
        <v>19.986734693877551</v>
      </c>
      <c r="P14" s="7">
        <f t="shared" si="4"/>
        <v>0.5068739280893837</v>
      </c>
      <c r="Q14" s="10">
        <f t="shared" si="5"/>
        <v>1563.6422020408093</v>
      </c>
    </row>
    <row r="15" spans="1:17" x14ac:dyDescent="0.25">
      <c r="A15" s="1" t="s">
        <v>263</v>
      </c>
      <c r="B15" s="1">
        <v>5000224241</v>
      </c>
      <c r="C15" s="1"/>
      <c r="D15" s="1">
        <v>1000820</v>
      </c>
      <c r="E15" s="1" t="s">
        <v>174</v>
      </c>
      <c r="F15" s="1" t="s">
        <v>267</v>
      </c>
      <c r="G15" s="1">
        <v>391.74</v>
      </c>
      <c r="H15" s="1">
        <v>152.6</v>
      </c>
      <c r="I15" s="3">
        <v>153.4</v>
      </c>
      <c r="J15" s="3">
        <f t="shared" si="0"/>
        <v>0.80000000000001137</v>
      </c>
      <c r="K15" s="1">
        <f t="shared" si="1"/>
        <v>313.39200000000449</v>
      </c>
      <c r="L15" s="3">
        <v>20.11</v>
      </c>
      <c r="M15" s="7">
        <v>19.600000000000001</v>
      </c>
      <c r="N15" s="7">
        <f t="shared" si="2"/>
        <v>19.479860765788167</v>
      </c>
      <c r="O15" s="7">
        <f t="shared" si="3"/>
        <v>19.986734693877551</v>
      </c>
      <c r="P15" s="7">
        <f t="shared" si="4"/>
        <v>0.5068739280893837</v>
      </c>
      <c r="Q15" s="10">
        <f t="shared" si="5"/>
        <v>1563.6422020408093</v>
      </c>
    </row>
    <row r="16" spans="1:17" x14ac:dyDescent="0.25">
      <c r="A16" s="1" t="s">
        <v>263</v>
      </c>
      <c r="B16" s="1">
        <v>5000224179</v>
      </c>
      <c r="C16" s="1"/>
      <c r="D16" s="1">
        <v>1000820</v>
      </c>
      <c r="E16" s="1" t="s">
        <v>174</v>
      </c>
      <c r="F16" s="1" t="s">
        <v>264</v>
      </c>
      <c r="G16" s="1">
        <v>77.45</v>
      </c>
      <c r="H16" s="1">
        <v>152.6</v>
      </c>
      <c r="I16" s="3">
        <v>153.4</v>
      </c>
      <c r="J16" s="3">
        <f t="shared" si="0"/>
        <v>0.80000000000001137</v>
      </c>
      <c r="K16" s="1">
        <f t="shared" si="1"/>
        <v>61.960000000000882</v>
      </c>
      <c r="L16" s="3">
        <v>20.11</v>
      </c>
      <c r="M16" s="7">
        <v>19.600000000000001</v>
      </c>
      <c r="N16" s="7">
        <f t="shared" si="2"/>
        <v>3.851317752362009</v>
      </c>
      <c r="O16" s="7">
        <f t="shared" si="3"/>
        <v>3.9515306122448979</v>
      </c>
      <c r="P16" s="7">
        <f t="shared" si="4"/>
        <v>0.10021285988288886</v>
      </c>
      <c r="Q16" s="10">
        <f t="shared" si="5"/>
        <v>309.14404591836688</v>
      </c>
    </row>
    <row r="17" spans="1:17" x14ac:dyDescent="0.25">
      <c r="A17" s="1" t="s">
        <v>263</v>
      </c>
      <c r="B17" s="1">
        <v>5000224179</v>
      </c>
      <c r="C17" s="1"/>
      <c r="D17" s="1">
        <v>1000821</v>
      </c>
      <c r="E17" s="1" t="s">
        <v>15</v>
      </c>
      <c r="F17" s="1" t="s">
        <v>264</v>
      </c>
      <c r="G17" s="1">
        <v>43.75</v>
      </c>
      <c r="H17" s="1">
        <v>152.6</v>
      </c>
      <c r="I17" s="3">
        <v>153.4</v>
      </c>
      <c r="J17" s="3">
        <f t="shared" si="0"/>
        <v>0.80000000000001137</v>
      </c>
      <c r="K17" s="1">
        <f t="shared" si="1"/>
        <v>35.000000000000497</v>
      </c>
      <c r="L17" s="3">
        <v>20.11</v>
      </c>
      <c r="M17" s="7">
        <v>19.600000000000001</v>
      </c>
      <c r="N17" s="7">
        <f t="shared" si="2"/>
        <v>2.1755345599204379</v>
      </c>
      <c r="O17" s="7">
        <f t="shared" si="3"/>
        <v>2.2321428571428568</v>
      </c>
      <c r="P17" s="7">
        <f t="shared" si="4"/>
        <v>5.6608297222418891E-2</v>
      </c>
      <c r="Q17" s="10">
        <f t="shared" si="5"/>
        <v>174.62946428571226</v>
      </c>
    </row>
    <row r="18" spans="1:17" x14ac:dyDescent="0.25">
      <c r="A18" s="1" t="s">
        <v>263</v>
      </c>
      <c r="B18" s="1">
        <v>5000224179</v>
      </c>
      <c r="C18" s="1"/>
      <c r="D18" s="1">
        <v>1000821</v>
      </c>
      <c r="E18" s="1" t="s">
        <v>15</v>
      </c>
      <c r="F18" s="1" t="s">
        <v>264</v>
      </c>
      <c r="G18" s="1">
        <v>610</v>
      </c>
      <c r="H18" s="1">
        <v>152.6</v>
      </c>
      <c r="I18" s="3">
        <v>153.4</v>
      </c>
      <c r="J18" s="3">
        <f t="shared" si="0"/>
        <v>0.80000000000001137</v>
      </c>
      <c r="K18" s="1">
        <f t="shared" si="1"/>
        <v>488.00000000000693</v>
      </c>
      <c r="L18" s="3">
        <v>20.11</v>
      </c>
      <c r="M18" s="7">
        <v>19.600000000000001</v>
      </c>
      <c r="N18" s="7">
        <f t="shared" si="2"/>
        <v>30.333167578319244</v>
      </c>
      <c r="O18" s="7">
        <f t="shared" si="3"/>
        <v>31.122448979591834</v>
      </c>
      <c r="P18" s="7">
        <f t="shared" si="4"/>
        <v>0.78928140127258928</v>
      </c>
      <c r="Q18" s="10">
        <f t="shared" si="5"/>
        <v>2434.8336734693776</v>
      </c>
    </row>
    <row r="19" spans="1:17" x14ac:dyDescent="0.25">
      <c r="A19" s="1" t="s">
        <v>263</v>
      </c>
      <c r="B19" s="1">
        <v>5000224183</v>
      </c>
      <c r="C19" s="1"/>
      <c r="D19" s="1">
        <v>1000825</v>
      </c>
      <c r="E19" s="1" t="s">
        <v>18</v>
      </c>
      <c r="F19" s="1" t="s">
        <v>264</v>
      </c>
      <c r="G19" s="1">
        <v>482.54</v>
      </c>
      <c r="H19" s="1">
        <v>152.6</v>
      </c>
      <c r="I19" s="3">
        <v>153.4</v>
      </c>
      <c r="J19" s="3">
        <f t="shared" si="0"/>
        <v>0.80000000000001137</v>
      </c>
      <c r="K19" s="1">
        <f t="shared" si="1"/>
        <v>386.0320000000055</v>
      </c>
      <c r="L19" s="9">
        <v>15.5</v>
      </c>
      <c r="M19" s="9">
        <v>15.09</v>
      </c>
      <c r="N19" s="7">
        <f t="shared" si="2"/>
        <v>31.131612903225808</v>
      </c>
      <c r="O19" s="7">
        <f t="shared" si="3"/>
        <v>31.977468522200134</v>
      </c>
      <c r="P19" s="7">
        <f t="shared" si="4"/>
        <v>0.84585561897432626</v>
      </c>
      <c r="Q19" s="10">
        <f t="shared" si="5"/>
        <v>2011.1909052352557</v>
      </c>
    </row>
    <row r="20" spans="1:17" x14ac:dyDescent="0.25">
      <c r="A20" s="1" t="s">
        <v>263</v>
      </c>
      <c r="B20" s="1">
        <v>5000224183</v>
      </c>
      <c r="C20" s="1"/>
      <c r="D20" s="1">
        <v>1000825</v>
      </c>
      <c r="E20" s="1" t="s">
        <v>18</v>
      </c>
      <c r="F20" s="1" t="s">
        <v>264</v>
      </c>
      <c r="G20" s="1">
        <v>150</v>
      </c>
      <c r="H20" s="1">
        <v>152.6</v>
      </c>
      <c r="I20" s="3">
        <v>153.4</v>
      </c>
      <c r="J20" s="3">
        <f t="shared" si="0"/>
        <v>0.80000000000001137</v>
      </c>
      <c r="K20" s="1">
        <f t="shared" si="1"/>
        <v>120.00000000000171</v>
      </c>
      <c r="L20" s="9">
        <v>15.5</v>
      </c>
      <c r="M20" s="9">
        <v>15.09</v>
      </c>
      <c r="N20" s="7">
        <f t="shared" si="2"/>
        <v>9.67741935483871</v>
      </c>
      <c r="O20" s="7">
        <f t="shared" si="3"/>
        <v>9.9403578528827037</v>
      </c>
      <c r="P20" s="7">
        <f t="shared" si="4"/>
        <v>0.26293849804399372</v>
      </c>
      <c r="Q20" s="10">
        <f t="shared" si="5"/>
        <v>625.18886679920388</v>
      </c>
    </row>
    <row r="21" spans="1:17" x14ac:dyDescent="0.25">
      <c r="A21" s="1" t="s">
        <v>263</v>
      </c>
      <c r="B21" s="1">
        <v>5000224241</v>
      </c>
      <c r="C21" s="1"/>
      <c r="D21" s="1">
        <v>1001759</v>
      </c>
      <c r="E21" s="1" t="s">
        <v>179</v>
      </c>
      <c r="F21" s="1" t="s">
        <v>267</v>
      </c>
      <c r="G21" s="1">
        <v>520</v>
      </c>
      <c r="H21" s="1">
        <v>152.6</v>
      </c>
      <c r="I21" s="3">
        <v>153.4</v>
      </c>
      <c r="J21" s="3">
        <f t="shared" si="0"/>
        <v>0.80000000000001137</v>
      </c>
      <c r="K21" s="1">
        <f t="shared" si="1"/>
        <v>416.00000000000591</v>
      </c>
      <c r="L21" s="3">
        <v>20.11</v>
      </c>
      <c r="M21" s="7">
        <v>19.600000000000001</v>
      </c>
      <c r="N21" s="7">
        <f>G21/L21</f>
        <v>25.857782197911487</v>
      </c>
      <c r="O21" s="7">
        <f>G21/M21</f>
        <v>26.530612244897956</v>
      </c>
      <c r="P21" s="7">
        <f>O21-N21</f>
        <v>0.6728300469864692</v>
      </c>
      <c r="Q21" s="10">
        <f t="shared" ref="Q21:Q31" si="6">P21*L21*I21</f>
        <v>2075.5959183673372</v>
      </c>
    </row>
    <row r="22" spans="1:17" x14ac:dyDescent="0.25">
      <c r="A22" s="1" t="s">
        <v>263</v>
      </c>
      <c r="B22" s="1">
        <v>5000224197</v>
      </c>
      <c r="C22" s="1"/>
      <c r="D22" s="1">
        <v>1001759</v>
      </c>
      <c r="E22" s="1" t="s">
        <v>179</v>
      </c>
      <c r="F22" s="1" t="s">
        <v>267</v>
      </c>
      <c r="G22" s="1">
        <v>520</v>
      </c>
      <c r="H22" s="1">
        <v>152.6</v>
      </c>
      <c r="I22" s="3">
        <v>153.4</v>
      </c>
      <c r="J22" s="3">
        <f t="shared" si="0"/>
        <v>0.80000000000001137</v>
      </c>
      <c r="K22" s="1">
        <f t="shared" si="1"/>
        <v>416.00000000000591</v>
      </c>
      <c r="L22" s="3">
        <v>20.11</v>
      </c>
      <c r="M22" s="7">
        <v>19.600000000000001</v>
      </c>
      <c r="N22" s="7">
        <f>G22/L22</f>
        <v>25.857782197911487</v>
      </c>
      <c r="O22" s="7">
        <f>G22/M22</f>
        <v>26.530612244897956</v>
      </c>
      <c r="P22" s="7">
        <f>O22-N22</f>
        <v>0.6728300469864692</v>
      </c>
      <c r="Q22" s="10">
        <f t="shared" si="6"/>
        <v>2075.5959183673372</v>
      </c>
    </row>
    <row r="23" spans="1:17" x14ac:dyDescent="0.25">
      <c r="A23" s="1" t="s">
        <v>263</v>
      </c>
      <c r="B23" s="1">
        <v>5000224197</v>
      </c>
      <c r="C23" s="1"/>
      <c r="D23" s="1">
        <v>1001759</v>
      </c>
      <c r="E23" s="1" t="s">
        <v>179</v>
      </c>
      <c r="F23" s="1" t="s">
        <v>267</v>
      </c>
      <c r="G23" s="1">
        <v>81.739999999999995</v>
      </c>
      <c r="H23" s="1">
        <v>152.6</v>
      </c>
      <c r="I23" s="3">
        <v>153.4</v>
      </c>
      <c r="J23" s="3">
        <f t="shared" si="0"/>
        <v>0.80000000000001137</v>
      </c>
      <c r="K23" s="1">
        <f t="shared" si="1"/>
        <v>65.39200000000092</v>
      </c>
      <c r="L23" s="3">
        <v>20.11</v>
      </c>
      <c r="M23" s="7">
        <v>19.600000000000001</v>
      </c>
      <c r="N23" s="7">
        <f>G23/L23</f>
        <v>4.0646444554947783</v>
      </c>
      <c r="O23" s="7">
        <f>G23/M23</f>
        <v>4.1704081632653054</v>
      </c>
      <c r="P23" s="7">
        <f>O23-N23</f>
        <v>0.10576370777052713</v>
      </c>
      <c r="Q23" s="10">
        <f t="shared" si="6"/>
        <v>326.26771224489715</v>
      </c>
    </row>
    <row r="24" spans="1:17" x14ac:dyDescent="0.25">
      <c r="A24" s="1" t="s">
        <v>263</v>
      </c>
      <c r="B24" s="1">
        <v>5000224241</v>
      </c>
      <c r="C24" s="1"/>
      <c r="D24" s="1">
        <v>1001759</v>
      </c>
      <c r="E24" s="1" t="s">
        <v>179</v>
      </c>
      <c r="F24" s="1" t="s">
        <v>267</v>
      </c>
      <c r="G24" s="1">
        <v>71.739999999999995</v>
      </c>
      <c r="H24" s="1">
        <v>152.6</v>
      </c>
      <c r="I24" s="3">
        <v>153.4</v>
      </c>
      <c r="J24" s="3">
        <f t="shared" si="0"/>
        <v>0.80000000000001137</v>
      </c>
      <c r="K24" s="1">
        <f t="shared" si="1"/>
        <v>57.392000000000813</v>
      </c>
      <c r="L24" s="3">
        <v>20.11</v>
      </c>
      <c r="M24" s="7">
        <v>19.600000000000001</v>
      </c>
      <c r="N24" s="7">
        <f>G24/L24</f>
        <v>3.5673794132272501</v>
      </c>
      <c r="O24" s="7">
        <f>G24/M24</f>
        <v>3.6602040816326524</v>
      </c>
      <c r="P24" s="7">
        <f>O24-N24</f>
        <v>9.2824668405402377E-2</v>
      </c>
      <c r="Q24" s="10">
        <f t="shared" si="6"/>
        <v>286.35240612244723</v>
      </c>
    </row>
    <row r="25" spans="1:17" x14ac:dyDescent="0.25">
      <c r="A25" s="1" t="s">
        <v>261</v>
      </c>
      <c r="B25" s="1">
        <v>5000229928</v>
      </c>
      <c r="C25" s="1"/>
      <c r="D25" s="1">
        <v>1001917</v>
      </c>
      <c r="E25" s="1" t="s">
        <v>16</v>
      </c>
      <c r="F25" s="1" t="s">
        <v>262</v>
      </c>
      <c r="G25" s="1">
        <v>54.61</v>
      </c>
      <c r="H25" s="1">
        <v>152.6</v>
      </c>
      <c r="I25" s="3">
        <v>153.4</v>
      </c>
      <c r="J25" s="3">
        <f t="shared" si="0"/>
        <v>0.80000000000001137</v>
      </c>
      <c r="K25" s="1">
        <f t="shared" si="1"/>
        <v>43.688000000000621</v>
      </c>
      <c r="L25" s="9">
        <v>15.4</v>
      </c>
      <c r="M25" s="9">
        <v>14.43</v>
      </c>
      <c r="N25" s="7">
        <f t="shared" ref="N25:N31" si="7">G25/L25</f>
        <v>3.546103896103896</v>
      </c>
      <c r="O25" s="7">
        <f t="shared" ref="O25:O31" si="8">G25/M25</f>
        <v>3.7844767844767846</v>
      </c>
      <c r="P25" s="7">
        <f t="shared" ref="P25:P31" si="9">O25-N25</f>
        <v>0.23837288837288861</v>
      </c>
      <c r="Q25" s="10">
        <f t="shared" si="6"/>
        <v>563.12257657657722</v>
      </c>
    </row>
    <row r="26" spans="1:17" x14ac:dyDescent="0.25">
      <c r="A26" s="1" t="s">
        <v>261</v>
      </c>
      <c r="B26" s="1">
        <v>5000229928</v>
      </c>
      <c r="C26" s="1"/>
      <c r="D26" s="1">
        <v>1001917</v>
      </c>
      <c r="E26" s="1" t="s">
        <v>16</v>
      </c>
      <c r="F26" s="1" t="s">
        <v>262</v>
      </c>
      <c r="G26" s="1">
        <v>500</v>
      </c>
      <c r="H26" s="1">
        <v>152.6</v>
      </c>
      <c r="I26" s="3">
        <v>153.4</v>
      </c>
      <c r="J26" s="3">
        <f t="shared" si="0"/>
        <v>0.80000000000001137</v>
      </c>
      <c r="K26" s="1">
        <f t="shared" si="1"/>
        <v>400.00000000000568</v>
      </c>
      <c r="L26" s="9">
        <v>15.4</v>
      </c>
      <c r="M26" s="9">
        <v>14.43</v>
      </c>
      <c r="N26" s="7">
        <f t="shared" si="7"/>
        <v>32.467532467532465</v>
      </c>
      <c r="O26" s="7">
        <f t="shared" si="8"/>
        <v>34.650034650034648</v>
      </c>
      <c r="P26" s="7">
        <f t="shared" si="9"/>
        <v>2.1825021825021835</v>
      </c>
      <c r="Q26" s="10">
        <f t="shared" si="6"/>
        <v>5155.8558558558589</v>
      </c>
    </row>
    <row r="27" spans="1:17" x14ac:dyDescent="0.25">
      <c r="A27" s="1" t="s">
        <v>263</v>
      </c>
      <c r="B27" s="1">
        <v>5000224190</v>
      </c>
      <c r="C27" s="1"/>
      <c r="D27" s="1">
        <v>1001917</v>
      </c>
      <c r="E27" s="1" t="s">
        <v>16</v>
      </c>
      <c r="F27" s="1" t="s">
        <v>264</v>
      </c>
      <c r="G27" s="1">
        <v>550</v>
      </c>
      <c r="H27" s="1">
        <v>152.6</v>
      </c>
      <c r="I27" s="3">
        <v>153.4</v>
      </c>
      <c r="J27" s="3">
        <f t="shared" si="0"/>
        <v>0.80000000000001137</v>
      </c>
      <c r="K27" s="1">
        <f t="shared" si="1"/>
        <v>440.00000000000625</v>
      </c>
      <c r="L27" s="9">
        <v>15.4</v>
      </c>
      <c r="M27" s="9">
        <v>14.43</v>
      </c>
      <c r="N27" s="7">
        <f t="shared" si="7"/>
        <v>35.714285714285715</v>
      </c>
      <c r="O27" s="7">
        <f t="shared" si="8"/>
        <v>38.115038115038118</v>
      </c>
      <c r="P27" s="7">
        <f t="shared" si="9"/>
        <v>2.4007524007524026</v>
      </c>
      <c r="Q27" s="10">
        <f t="shared" si="6"/>
        <v>5671.4414414414459</v>
      </c>
    </row>
    <row r="28" spans="1:17" x14ac:dyDescent="0.25">
      <c r="A28" s="1" t="s">
        <v>263</v>
      </c>
      <c r="B28" s="1">
        <v>5000224187</v>
      </c>
      <c r="C28" s="1"/>
      <c r="D28" s="1">
        <v>1001917</v>
      </c>
      <c r="E28" s="1" t="s">
        <v>16</v>
      </c>
      <c r="F28" s="1" t="s">
        <v>264</v>
      </c>
      <c r="G28" s="1">
        <v>550</v>
      </c>
      <c r="H28" s="1">
        <v>152.6</v>
      </c>
      <c r="I28" s="3">
        <v>153.4</v>
      </c>
      <c r="J28" s="3">
        <f t="shared" si="0"/>
        <v>0.80000000000001137</v>
      </c>
      <c r="K28" s="1">
        <f t="shared" si="1"/>
        <v>440.00000000000625</v>
      </c>
      <c r="L28" s="9">
        <v>15.4</v>
      </c>
      <c r="M28" s="9">
        <v>14.43</v>
      </c>
      <c r="N28" s="7">
        <f t="shared" si="7"/>
        <v>35.714285714285715</v>
      </c>
      <c r="O28" s="7">
        <f t="shared" si="8"/>
        <v>38.115038115038118</v>
      </c>
      <c r="P28" s="7">
        <f t="shared" si="9"/>
        <v>2.4007524007524026</v>
      </c>
      <c r="Q28" s="10">
        <f t="shared" si="6"/>
        <v>5671.4414414414459</v>
      </c>
    </row>
    <row r="29" spans="1:17" x14ac:dyDescent="0.25">
      <c r="A29" s="1" t="s">
        <v>263</v>
      </c>
      <c r="B29" s="1">
        <v>5000224190</v>
      </c>
      <c r="C29" s="1"/>
      <c r="D29" s="1">
        <v>1001917</v>
      </c>
      <c r="E29" s="1" t="s">
        <v>16</v>
      </c>
      <c r="F29" s="1" t="s">
        <v>264</v>
      </c>
      <c r="G29" s="1">
        <v>6.53</v>
      </c>
      <c r="H29" s="1">
        <v>152.6</v>
      </c>
      <c r="I29" s="3">
        <v>153.4</v>
      </c>
      <c r="J29" s="3">
        <f t="shared" si="0"/>
        <v>0.80000000000001137</v>
      </c>
      <c r="K29" s="1">
        <f t="shared" si="1"/>
        <v>5.2240000000000748</v>
      </c>
      <c r="L29" s="9">
        <v>15.4</v>
      </c>
      <c r="M29" s="9">
        <v>14.43</v>
      </c>
      <c r="N29" s="7">
        <f t="shared" si="7"/>
        <v>0.42402597402597403</v>
      </c>
      <c r="O29" s="7">
        <f t="shared" si="8"/>
        <v>0.45252945252945254</v>
      </c>
      <c r="P29" s="7">
        <f t="shared" si="9"/>
        <v>2.8503478503478508E-2</v>
      </c>
      <c r="Q29" s="10">
        <f t="shared" si="6"/>
        <v>67.335477477477497</v>
      </c>
    </row>
    <row r="30" spans="1:17" x14ac:dyDescent="0.25">
      <c r="A30" s="1" t="s">
        <v>265</v>
      </c>
      <c r="B30" s="1">
        <v>5000228967</v>
      </c>
      <c r="C30" s="1"/>
      <c r="D30" s="1">
        <v>1001919</v>
      </c>
      <c r="E30" s="1" t="s">
        <v>180</v>
      </c>
      <c r="F30" s="1" t="s">
        <v>266</v>
      </c>
      <c r="G30" s="1">
        <v>472.88</v>
      </c>
      <c r="H30" s="1">
        <v>152.6</v>
      </c>
      <c r="I30" s="3">
        <v>153.4</v>
      </c>
      <c r="J30" s="3">
        <f t="shared" si="0"/>
        <v>0.80000000000001137</v>
      </c>
      <c r="K30" s="1">
        <f t="shared" si="1"/>
        <v>378.30400000000537</v>
      </c>
      <c r="L30" s="9">
        <v>15.4</v>
      </c>
      <c r="M30" s="9">
        <v>14.43</v>
      </c>
      <c r="N30" s="7">
        <f t="shared" si="7"/>
        <v>30.706493506493505</v>
      </c>
      <c r="O30" s="7">
        <f t="shared" si="8"/>
        <v>32.770616770616769</v>
      </c>
      <c r="P30" s="7">
        <f t="shared" si="9"/>
        <v>2.0641232641232641</v>
      </c>
      <c r="Q30" s="10">
        <f t="shared" si="6"/>
        <v>4876.2022342342343</v>
      </c>
    </row>
    <row r="31" spans="1:17" x14ac:dyDescent="0.25">
      <c r="A31" s="1" t="s">
        <v>263</v>
      </c>
      <c r="B31" s="1">
        <v>5000224197</v>
      </c>
      <c r="C31" s="1"/>
      <c r="D31" s="1">
        <v>1001945</v>
      </c>
      <c r="E31" s="1" t="s">
        <v>116</v>
      </c>
      <c r="F31" s="1" t="s">
        <v>267</v>
      </c>
      <c r="G31" s="1">
        <v>46.99</v>
      </c>
      <c r="H31" s="1">
        <v>152.6</v>
      </c>
      <c r="I31" s="3">
        <v>153.4</v>
      </c>
      <c r="J31" s="3">
        <f t="shared" si="0"/>
        <v>0.80000000000001137</v>
      </c>
      <c r="K31" s="1">
        <f t="shared" si="1"/>
        <v>37.592000000000539</v>
      </c>
      <c r="L31" s="9">
        <v>13.9</v>
      </c>
      <c r="M31" s="9">
        <v>13.57</v>
      </c>
      <c r="N31" s="7">
        <f t="shared" si="7"/>
        <v>3.3805755395683454</v>
      </c>
      <c r="O31" s="7">
        <f t="shared" si="8"/>
        <v>3.4627855563743553</v>
      </c>
      <c r="P31" s="7">
        <f t="shared" si="9"/>
        <v>8.2210016806009811E-2</v>
      </c>
      <c r="Q31" s="10">
        <f t="shared" si="6"/>
        <v>175.29313043478248</v>
      </c>
    </row>
    <row r="32" spans="1:17" x14ac:dyDescent="0.25">
      <c r="A32" s="1" t="s">
        <v>263</v>
      </c>
      <c r="B32" s="1">
        <v>5000224241</v>
      </c>
      <c r="C32" s="1"/>
      <c r="D32" s="1">
        <v>1001945</v>
      </c>
      <c r="E32" s="1" t="s">
        <v>116</v>
      </c>
      <c r="F32" s="1" t="s">
        <v>267</v>
      </c>
      <c r="G32" s="1">
        <v>46.99</v>
      </c>
      <c r="H32" s="1">
        <v>152.6</v>
      </c>
      <c r="I32" s="3">
        <v>153.4</v>
      </c>
      <c r="J32" s="3">
        <f t="shared" si="0"/>
        <v>0.80000000000001137</v>
      </c>
      <c r="K32" s="1">
        <f t="shared" si="1"/>
        <v>37.592000000000539</v>
      </c>
      <c r="L32" s="9">
        <v>13.9</v>
      </c>
      <c r="M32" s="9">
        <v>13.57</v>
      </c>
      <c r="N32" s="7">
        <f t="shared" ref="N32:N46" si="10">G32/L32</f>
        <v>3.3805755395683454</v>
      </c>
      <c r="O32" s="7">
        <f t="shared" ref="O32:O46" si="11">G32/M32</f>
        <v>3.4627855563743553</v>
      </c>
      <c r="P32" s="7">
        <f t="shared" ref="P32:P46" si="12">O32-N32</f>
        <v>8.2210016806009811E-2</v>
      </c>
      <c r="Q32" s="10">
        <f t="shared" ref="Q32:Q46" si="13">P32*L32*I32</f>
        <v>175.29313043478248</v>
      </c>
    </row>
    <row r="33" spans="1:17" x14ac:dyDescent="0.25">
      <c r="A33" s="1" t="s">
        <v>263</v>
      </c>
      <c r="B33" s="1">
        <v>5000224197</v>
      </c>
      <c r="C33" s="1"/>
      <c r="D33" s="1">
        <v>1001945</v>
      </c>
      <c r="E33" s="1" t="s">
        <v>116</v>
      </c>
      <c r="F33" s="1" t="s">
        <v>267</v>
      </c>
      <c r="G33" s="1">
        <v>500</v>
      </c>
      <c r="H33" s="1">
        <v>152.6</v>
      </c>
      <c r="I33" s="3">
        <v>153.4</v>
      </c>
      <c r="J33" s="3">
        <f t="shared" si="0"/>
        <v>0.80000000000001137</v>
      </c>
      <c r="K33" s="1">
        <f t="shared" si="1"/>
        <v>400.00000000000568</v>
      </c>
      <c r="L33" s="9">
        <v>13.9</v>
      </c>
      <c r="M33" s="9">
        <v>13.57</v>
      </c>
      <c r="N33" s="7">
        <f t="shared" si="10"/>
        <v>35.97122302158273</v>
      </c>
      <c r="O33" s="7">
        <f t="shared" si="11"/>
        <v>36.845983787767132</v>
      </c>
      <c r="P33" s="7">
        <f t="shared" si="12"/>
        <v>0.87476076618440146</v>
      </c>
      <c r="Q33" s="10">
        <f t="shared" si="13"/>
        <v>1865.2173913043518</v>
      </c>
    </row>
    <row r="34" spans="1:17" x14ac:dyDescent="0.25">
      <c r="A34" s="1" t="s">
        <v>263</v>
      </c>
      <c r="B34" s="1">
        <v>5000224241</v>
      </c>
      <c r="C34" s="1"/>
      <c r="D34" s="1">
        <v>1001945</v>
      </c>
      <c r="E34" s="1" t="s">
        <v>116</v>
      </c>
      <c r="F34" s="1" t="s">
        <v>267</v>
      </c>
      <c r="G34" s="1">
        <v>500</v>
      </c>
      <c r="H34" s="1">
        <v>152.6</v>
      </c>
      <c r="I34" s="3">
        <v>153.4</v>
      </c>
      <c r="J34" s="3">
        <f t="shared" si="0"/>
        <v>0.80000000000001137</v>
      </c>
      <c r="K34" s="1">
        <f t="shared" si="1"/>
        <v>400.00000000000568</v>
      </c>
      <c r="L34" s="9">
        <v>13.9</v>
      </c>
      <c r="M34" s="9">
        <v>13.57</v>
      </c>
      <c r="N34" s="7">
        <f t="shared" si="10"/>
        <v>35.97122302158273</v>
      </c>
      <c r="O34" s="7">
        <f t="shared" si="11"/>
        <v>36.845983787767132</v>
      </c>
      <c r="P34" s="7">
        <f t="shared" si="12"/>
        <v>0.87476076618440146</v>
      </c>
      <c r="Q34" s="10">
        <f t="shared" si="13"/>
        <v>1865.2173913043518</v>
      </c>
    </row>
    <row r="35" spans="1:17" x14ac:dyDescent="0.25">
      <c r="A35" s="1" t="s">
        <v>263</v>
      </c>
      <c r="B35" s="1">
        <v>5000224187</v>
      </c>
      <c r="C35" s="1"/>
      <c r="D35" s="1">
        <v>1001946</v>
      </c>
      <c r="E35" s="1" t="s">
        <v>115</v>
      </c>
      <c r="F35" s="1" t="s">
        <v>264</v>
      </c>
      <c r="G35" s="1">
        <v>536.78</v>
      </c>
      <c r="H35" s="1">
        <v>152.6</v>
      </c>
      <c r="I35" s="3">
        <v>153.4</v>
      </c>
      <c r="J35" s="3">
        <f t="shared" si="0"/>
        <v>0.80000000000001137</v>
      </c>
      <c r="K35" s="1">
        <f t="shared" si="1"/>
        <v>429.42400000000606</v>
      </c>
      <c r="L35" s="9">
        <v>13.9</v>
      </c>
      <c r="M35" s="9">
        <v>13.57</v>
      </c>
      <c r="N35" s="7">
        <f t="shared" si="10"/>
        <v>38.617266187050355</v>
      </c>
      <c r="O35" s="7">
        <f t="shared" si="11"/>
        <v>39.556374355195281</v>
      </c>
      <c r="P35" s="7">
        <f t="shared" si="12"/>
        <v>0.93910816814492648</v>
      </c>
      <c r="Q35" s="10">
        <f t="shared" si="13"/>
        <v>2002.422782608701</v>
      </c>
    </row>
    <row r="36" spans="1:17" x14ac:dyDescent="0.25">
      <c r="A36" s="1" t="s">
        <v>263</v>
      </c>
      <c r="B36" s="1">
        <v>5000224190</v>
      </c>
      <c r="C36" s="1"/>
      <c r="D36" s="1">
        <v>1001946</v>
      </c>
      <c r="E36" s="1" t="s">
        <v>115</v>
      </c>
      <c r="F36" s="1" t="s">
        <v>264</v>
      </c>
      <c r="G36" s="1">
        <v>536.78</v>
      </c>
      <c r="H36" s="1">
        <v>152.6</v>
      </c>
      <c r="I36" s="3">
        <v>153.4</v>
      </c>
      <c r="J36" s="3">
        <f t="shared" si="0"/>
        <v>0.80000000000001137</v>
      </c>
      <c r="K36" s="1">
        <f t="shared" si="1"/>
        <v>429.42400000000606</v>
      </c>
      <c r="L36" s="9">
        <v>13.9</v>
      </c>
      <c r="M36" s="9">
        <v>13.57</v>
      </c>
      <c r="N36" s="7">
        <f t="shared" si="10"/>
        <v>38.617266187050355</v>
      </c>
      <c r="O36" s="7">
        <f t="shared" si="11"/>
        <v>39.556374355195281</v>
      </c>
      <c r="P36" s="7">
        <f t="shared" si="12"/>
        <v>0.93910816814492648</v>
      </c>
      <c r="Q36" s="10">
        <f t="shared" si="13"/>
        <v>2002.422782608701</v>
      </c>
    </row>
    <row r="37" spans="1:17" x14ac:dyDescent="0.25">
      <c r="A37" s="1" t="s">
        <v>263</v>
      </c>
      <c r="B37" s="1">
        <v>5000224241</v>
      </c>
      <c r="C37" s="1"/>
      <c r="D37" s="1">
        <v>1001947</v>
      </c>
      <c r="E37" s="1" t="s">
        <v>17</v>
      </c>
      <c r="F37" s="1" t="s">
        <v>267</v>
      </c>
      <c r="G37" s="1">
        <v>67.540000000000006</v>
      </c>
      <c r="H37" s="1">
        <v>152.6</v>
      </c>
      <c r="I37" s="3">
        <v>153.4</v>
      </c>
      <c r="J37" s="3">
        <f t="shared" si="0"/>
        <v>0.80000000000001137</v>
      </c>
      <c r="K37" s="1">
        <f t="shared" si="1"/>
        <v>54.032000000000771</v>
      </c>
      <c r="L37" s="9">
        <v>13.9</v>
      </c>
      <c r="M37" s="9">
        <v>13.57</v>
      </c>
      <c r="N37" s="7">
        <f t="shared" si="10"/>
        <v>4.8589928057553964</v>
      </c>
      <c r="O37" s="7">
        <f t="shared" si="11"/>
        <v>4.9771554900515849</v>
      </c>
      <c r="P37" s="7">
        <f t="shared" si="12"/>
        <v>0.11816268429618848</v>
      </c>
      <c r="Q37" s="10">
        <f t="shared" si="13"/>
        <v>251.95356521739086</v>
      </c>
    </row>
    <row r="38" spans="1:17" x14ac:dyDescent="0.25">
      <c r="A38" s="1" t="s">
        <v>263</v>
      </c>
      <c r="B38" s="1">
        <v>5000224197</v>
      </c>
      <c r="C38" s="1"/>
      <c r="D38" s="1">
        <v>1001947</v>
      </c>
      <c r="E38" s="1" t="s">
        <v>17</v>
      </c>
      <c r="F38" s="1" t="s">
        <v>267</v>
      </c>
      <c r="G38" s="1">
        <v>67.540000000000006</v>
      </c>
      <c r="H38" s="1">
        <v>152.6</v>
      </c>
      <c r="I38" s="3">
        <v>153.4</v>
      </c>
      <c r="J38" s="3">
        <f t="shared" si="0"/>
        <v>0.80000000000001137</v>
      </c>
      <c r="K38" s="1">
        <f t="shared" si="1"/>
        <v>54.032000000000771</v>
      </c>
      <c r="L38" s="9">
        <v>13.9</v>
      </c>
      <c r="M38" s="9">
        <v>13.57</v>
      </c>
      <c r="N38" s="7">
        <f t="shared" si="10"/>
        <v>4.8589928057553964</v>
      </c>
      <c r="O38" s="7">
        <f t="shared" si="11"/>
        <v>4.9771554900515849</v>
      </c>
      <c r="P38" s="7">
        <f t="shared" si="12"/>
        <v>0.11816268429618848</v>
      </c>
      <c r="Q38" s="10">
        <f t="shared" si="13"/>
        <v>251.95356521739086</v>
      </c>
    </row>
    <row r="39" spans="1:17" x14ac:dyDescent="0.25">
      <c r="A39" s="1" t="s">
        <v>263</v>
      </c>
      <c r="B39" s="1">
        <v>5000224187</v>
      </c>
      <c r="C39" s="1"/>
      <c r="D39" s="1">
        <v>1001947</v>
      </c>
      <c r="E39" s="1" t="s">
        <v>17</v>
      </c>
      <c r="F39" s="1" t="s">
        <v>264</v>
      </c>
      <c r="G39" s="1">
        <v>6.53</v>
      </c>
      <c r="H39" s="1">
        <v>152.6</v>
      </c>
      <c r="I39" s="3">
        <v>153.4</v>
      </c>
      <c r="J39" s="3">
        <f t="shared" si="0"/>
        <v>0.80000000000001137</v>
      </c>
      <c r="K39" s="1">
        <f t="shared" si="1"/>
        <v>5.2240000000000748</v>
      </c>
      <c r="L39" s="9">
        <v>13.9</v>
      </c>
      <c r="M39" s="9">
        <v>13.57</v>
      </c>
      <c r="N39" s="7">
        <f t="shared" si="10"/>
        <v>0.4697841726618705</v>
      </c>
      <c r="O39" s="7">
        <f t="shared" si="11"/>
        <v>0.48120854826823878</v>
      </c>
      <c r="P39" s="7">
        <f t="shared" si="12"/>
        <v>1.1424375606368276E-2</v>
      </c>
      <c r="Q39" s="10">
        <f t="shared" si="13"/>
        <v>24.359739130434821</v>
      </c>
    </row>
    <row r="40" spans="1:17" x14ac:dyDescent="0.25">
      <c r="A40" s="1" t="s">
        <v>263</v>
      </c>
      <c r="B40" s="1">
        <v>5000224197</v>
      </c>
      <c r="C40" s="1"/>
      <c r="D40" s="1">
        <v>1001947</v>
      </c>
      <c r="E40" s="1" t="s">
        <v>17</v>
      </c>
      <c r="F40" s="1" t="s">
        <v>267</v>
      </c>
      <c r="G40" s="1">
        <v>510</v>
      </c>
      <c r="H40" s="1">
        <v>152.6</v>
      </c>
      <c r="I40" s="3">
        <v>153.4</v>
      </c>
      <c r="J40" s="3">
        <f t="shared" si="0"/>
        <v>0.80000000000001137</v>
      </c>
      <c r="K40" s="1">
        <f t="shared" si="1"/>
        <v>408.0000000000058</v>
      </c>
      <c r="L40" s="9">
        <v>13.9</v>
      </c>
      <c r="M40" s="9">
        <v>13.57</v>
      </c>
      <c r="N40" s="7">
        <f t="shared" si="10"/>
        <v>36.690647482014384</v>
      </c>
      <c r="O40" s="7">
        <f t="shared" si="11"/>
        <v>37.582903463522477</v>
      </c>
      <c r="P40" s="7">
        <f t="shared" si="12"/>
        <v>0.89225598150809304</v>
      </c>
      <c r="Q40" s="10">
        <f t="shared" si="13"/>
        <v>1902.5217391304466</v>
      </c>
    </row>
    <row r="41" spans="1:17" x14ac:dyDescent="0.25">
      <c r="A41" s="1" t="s">
        <v>263</v>
      </c>
      <c r="B41" s="1">
        <v>5000224241</v>
      </c>
      <c r="C41" s="1"/>
      <c r="D41" s="1">
        <v>1001947</v>
      </c>
      <c r="E41" s="1" t="s">
        <v>17</v>
      </c>
      <c r="F41" s="1" t="s">
        <v>267</v>
      </c>
      <c r="G41" s="1">
        <v>510</v>
      </c>
      <c r="H41" s="1">
        <v>152.6</v>
      </c>
      <c r="I41" s="3">
        <v>153.4</v>
      </c>
      <c r="J41" s="3">
        <f t="shared" si="0"/>
        <v>0.80000000000001137</v>
      </c>
      <c r="K41" s="1">
        <f t="shared" si="1"/>
        <v>408.0000000000058</v>
      </c>
      <c r="L41" s="9">
        <v>13.9</v>
      </c>
      <c r="M41" s="9">
        <v>13.57</v>
      </c>
      <c r="N41" s="7">
        <f t="shared" si="10"/>
        <v>36.690647482014384</v>
      </c>
      <c r="O41" s="7">
        <f t="shared" si="11"/>
        <v>37.582903463522477</v>
      </c>
      <c r="P41" s="7">
        <f t="shared" si="12"/>
        <v>0.89225598150809304</v>
      </c>
      <c r="Q41" s="10">
        <f t="shared" si="13"/>
        <v>1902.5217391304466</v>
      </c>
    </row>
    <row r="42" spans="1:17" x14ac:dyDescent="0.25">
      <c r="A42" s="1" t="s">
        <v>263</v>
      </c>
      <c r="B42" s="1">
        <v>5000224187</v>
      </c>
      <c r="C42" s="1"/>
      <c r="D42" s="1">
        <v>1002185</v>
      </c>
      <c r="E42" s="1" t="s">
        <v>20</v>
      </c>
      <c r="F42" s="1" t="s">
        <v>264</v>
      </c>
      <c r="G42" s="1">
        <v>670.98</v>
      </c>
      <c r="H42" s="1">
        <v>152.6</v>
      </c>
      <c r="I42" s="3">
        <v>153.4</v>
      </c>
      <c r="J42" s="3">
        <f t="shared" si="0"/>
        <v>0.80000000000001137</v>
      </c>
      <c r="K42" s="1">
        <f t="shared" si="1"/>
        <v>536.78400000000761</v>
      </c>
      <c r="L42" s="9">
        <v>26</v>
      </c>
      <c r="M42" s="9">
        <v>24.67</v>
      </c>
      <c r="N42" s="7">
        <f t="shared" si="10"/>
        <v>25.806923076923077</v>
      </c>
      <c r="O42" s="7">
        <f t="shared" si="11"/>
        <v>27.198216457235507</v>
      </c>
      <c r="P42" s="7">
        <f t="shared" si="12"/>
        <v>1.3912933803124297</v>
      </c>
      <c r="Q42" s="10">
        <f t="shared" si="13"/>
        <v>5549.0345180380946</v>
      </c>
    </row>
    <row r="43" spans="1:17" x14ac:dyDescent="0.25">
      <c r="A43" s="1" t="s">
        <v>263</v>
      </c>
      <c r="B43" s="1">
        <v>5000224190</v>
      </c>
      <c r="C43" s="1"/>
      <c r="D43" s="1">
        <v>1002185</v>
      </c>
      <c r="E43" s="1" t="s">
        <v>20</v>
      </c>
      <c r="F43" s="1" t="s">
        <v>264</v>
      </c>
      <c r="G43" s="1">
        <v>670.98</v>
      </c>
      <c r="H43" s="1">
        <v>152.6</v>
      </c>
      <c r="I43" s="3">
        <v>153.4</v>
      </c>
      <c r="J43" s="3">
        <f t="shared" si="0"/>
        <v>0.80000000000001137</v>
      </c>
      <c r="K43" s="1">
        <f t="shared" si="1"/>
        <v>536.78400000000761</v>
      </c>
      <c r="L43" s="9">
        <v>26</v>
      </c>
      <c r="M43" s="9">
        <v>24.67</v>
      </c>
      <c r="N43" s="7">
        <f t="shared" si="10"/>
        <v>25.806923076923077</v>
      </c>
      <c r="O43" s="7">
        <f t="shared" si="11"/>
        <v>27.198216457235507</v>
      </c>
      <c r="P43" s="7">
        <f t="shared" si="12"/>
        <v>1.3912933803124297</v>
      </c>
      <c r="Q43" s="10">
        <f t="shared" si="13"/>
        <v>5549.0345180380946</v>
      </c>
    </row>
    <row r="44" spans="1:17" x14ac:dyDescent="0.25">
      <c r="A44" s="1" t="s">
        <v>261</v>
      </c>
      <c r="B44" s="1">
        <v>5000229928</v>
      </c>
      <c r="C44" s="1"/>
      <c r="D44" s="1">
        <v>1002188</v>
      </c>
      <c r="E44" s="1" t="s">
        <v>19</v>
      </c>
      <c r="F44" s="1" t="s">
        <v>262</v>
      </c>
      <c r="G44" s="2">
        <v>1240</v>
      </c>
      <c r="H44" s="1">
        <v>152.6</v>
      </c>
      <c r="I44" s="3">
        <v>153.4</v>
      </c>
      <c r="J44" s="3">
        <f t="shared" si="0"/>
        <v>0.80000000000001137</v>
      </c>
      <c r="K44" s="1">
        <f t="shared" si="1"/>
        <v>992.0000000000141</v>
      </c>
      <c r="L44" s="9">
        <v>26</v>
      </c>
      <c r="M44" s="9">
        <v>24.67</v>
      </c>
      <c r="N44" s="7">
        <f t="shared" si="10"/>
        <v>47.692307692307693</v>
      </c>
      <c r="O44" s="7">
        <f t="shared" si="11"/>
        <v>50.263477908390755</v>
      </c>
      <c r="P44" s="7">
        <f t="shared" si="12"/>
        <v>2.5711702160830612</v>
      </c>
      <c r="Q44" s="10">
        <f t="shared" si="13"/>
        <v>10254.855289825682</v>
      </c>
    </row>
    <row r="45" spans="1:17" x14ac:dyDescent="0.25">
      <c r="A45" s="1" t="s">
        <v>261</v>
      </c>
      <c r="B45" s="1">
        <v>5000229928</v>
      </c>
      <c r="C45" s="1"/>
      <c r="D45" s="1">
        <v>1002188</v>
      </c>
      <c r="E45" s="1" t="s">
        <v>19</v>
      </c>
      <c r="F45" s="1" t="s">
        <v>262</v>
      </c>
      <c r="G45" s="1">
        <v>680</v>
      </c>
      <c r="H45" s="1">
        <v>152.6</v>
      </c>
      <c r="I45" s="3">
        <v>153.4</v>
      </c>
      <c r="J45" s="3">
        <f t="shared" si="0"/>
        <v>0.80000000000001137</v>
      </c>
      <c r="K45" s="1">
        <f t="shared" si="1"/>
        <v>544.00000000000773</v>
      </c>
      <c r="L45" s="9">
        <v>26</v>
      </c>
      <c r="M45" s="9">
        <v>24.67</v>
      </c>
      <c r="N45" s="7">
        <f t="shared" si="10"/>
        <v>26.153846153846153</v>
      </c>
      <c r="O45" s="7">
        <f t="shared" si="11"/>
        <v>27.56384272395622</v>
      </c>
      <c r="P45" s="7">
        <f t="shared" si="12"/>
        <v>1.4099965701100672</v>
      </c>
      <c r="Q45" s="10">
        <f t="shared" si="13"/>
        <v>5623.6303202269919</v>
      </c>
    </row>
    <row r="46" spans="1:17" x14ac:dyDescent="0.25">
      <c r="A46" s="1" t="s">
        <v>261</v>
      </c>
      <c r="B46" s="1">
        <v>5000229928</v>
      </c>
      <c r="C46" s="1"/>
      <c r="D46" s="1">
        <v>1002188</v>
      </c>
      <c r="E46" s="1" t="s">
        <v>19</v>
      </c>
      <c r="F46" s="1" t="s">
        <v>262</v>
      </c>
      <c r="G46" s="1">
        <v>28.64</v>
      </c>
      <c r="H46" s="1">
        <v>152.6</v>
      </c>
      <c r="I46" s="3">
        <v>153.4</v>
      </c>
      <c r="J46" s="3">
        <f t="shared" si="0"/>
        <v>0.80000000000001137</v>
      </c>
      <c r="K46" s="1">
        <f t="shared" si="1"/>
        <v>22.912000000000326</v>
      </c>
      <c r="L46" s="9">
        <v>26</v>
      </c>
      <c r="M46" s="9">
        <v>24.67</v>
      </c>
      <c r="N46" s="7">
        <f t="shared" si="10"/>
        <v>1.1015384615384616</v>
      </c>
      <c r="O46" s="7">
        <f t="shared" si="11"/>
        <v>1.160924199432509</v>
      </c>
      <c r="P46" s="7">
        <f t="shared" si="12"/>
        <v>5.9385737894047441E-2</v>
      </c>
      <c r="Q46" s="10">
        <f t="shared" si="13"/>
        <v>236.85407701661882</v>
      </c>
    </row>
    <row r="47" spans="1:17" x14ac:dyDescent="0.25">
      <c r="A47" s="1" t="s">
        <v>268</v>
      </c>
      <c r="B47" s="1">
        <v>5000229680</v>
      </c>
      <c r="C47" s="1"/>
      <c r="D47" s="1">
        <v>1002380</v>
      </c>
      <c r="E47" s="1" t="s">
        <v>60</v>
      </c>
      <c r="F47" s="1" t="s">
        <v>262</v>
      </c>
      <c r="G47" s="1">
        <v>494.64</v>
      </c>
      <c r="H47" s="1">
        <v>152.6</v>
      </c>
      <c r="I47" s="3">
        <v>153.4</v>
      </c>
      <c r="J47" s="3">
        <f t="shared" si="0"/>
        <v>0.80000000000001137</v>
      </c>
      <c r="K47" s="1">
        <f t="shared" si="1"/>
        <v>395.71200000000562</v>
      </c>
      <c r="L47" s="9">
        <v>15.4</v>
      </c>
      <c r="M47" s="9">
        <v>14.43</v>
      </c>
      <c r="N47" s="7">
        <f>G47/L47</f>
        <v>32.119480519480518</v>
      </c>
      <c r="O47" s="7">
        <f>G47/M47</f>
        <v>34.278586278586282</v>
      </c>
      <c r="P47" s="7">
        <f>O47-N47</f>
        <v>2.1591057591057634</v>
      </c>
      <c r="Q47" s="10">
        <f>P47*L47*I47</f>
        <v>5100.5850810810916</v>
      </c>
    </row>
    <row r="48" spans="1:17" x14ac:dyDescent="0.25">
      <c r="A48" s="1" t="s">
        <v>261</v>
      </c>
      <c r="B48" s="1">
        <v>5000229928</v>
      </c>
      <c r="C48" s="1"/>
      <c r="D48" s="1">
        <v>1002447</v>
      </c>
      <c r="E48" s="1" t="s">
        <v>184</v>
      </c>
      <c r="F48" s="1" t="s">
        <v>262</v>
      </c>
      <c r="G48" s="1">
        <v>509.53</v>
      </c>
      <c r="H48" s="1">
        <v>152.6</v>
      </c>
      <c r="I48" s="3">
        <v>153.4</v>
      </c>
      <c r="J48" s="3">
        <f t="shared" si="0"/>
        <v>0.80000000000001137</v>
      </c>
      <c r="K48" s="1">
        <f t="shared" si="1"/>
        <v>407.62400000000576</v>
      </c>
      <c r="L48" s="9">
        <v>15.4</v>
      </c>
      <c r="M48" s="9">
        <v>14.43</v>
      </c>
      <c r="N48" s="7">
        <f>G48/L48</f>
        <v>33.086363636363636</v>
      </c>
      <c r="O48" s="7">
        <f>G48/M48</f>
        <v>35.310464310464312</v>
      </c>
      <c r="P48" s="7">
        <f>O48-N48</f>
        <v>2.2241006741006757</v>
      </c>
      <c r="Q48" s="10">
        <f>P48*L48*I48</f>
        <v>5254.1264684684729</v>
      </c>
    </row>
    <row r="49" spans="1:17" x14ac:dyDescent="0.25">
      <c r="A49" s="1" t="s">
        <v>265</v>
      </c>
      <c r="B49" s="1">
        <v>5000228968</v>
      </c>
      <c r="C49" s="1"/>
      <c r="D49" s="1">
        <v>1002447</v>
      </c>
      <c r="E49" s="1" t="s">
        <v>184</v>
      </c>
      <c r="F49" s="1" t="s">
        <v>266</v>
      </c>
      <c r="G49" s="1">
        <v>506.86</v>
      </c>
      <c r="H49" s="1">
        <v>152.6</v>
      </c>
      <c r="I49" s="3">
        <v>153.4</v>
      </c>
      <c r="J49" s="3">
        <f t="shared" si="0"/>
        <v>0.80000000000001137</v>
      </c>
      <c r="K49" s="1">
        <f t="shared" si="1"/>
        <v>405.4880000000058</v>
      </c>
      <c r="L49" s="9">
        <v>15.4</v>
      </c>
      <c r="M49" s="9">
        <v>14.43</v>
      </c>
      <c r="N49" s="7">
        <f>G49/L49</f>
        <v>32.91298701298701</v>
      </c>
      <c r="O49" s="7">
        <f>G49/M49</f>
        <v>35.125433125433126</v>
      </c>
      <c r="P49" s="7">
        <f>O49-N49</f>
        <v>2.2124461124461163</v>
      </c>
      <c r="Q49" s="10">
        <f>P49*L49*I49</f>
        <v>5226.5941981982078</v>
      </c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5" t="s">
        <v>283</v>
      </c>
      <c r="J52" s="5"/>
      <c r="K52" s="5">
        <f>SUM(K2:K49)</f>
        <v>16625.128000000233</v>
      </c>
      <c r="L52" s="5"/>
      <c r="M52" s="5"/>
      <c r="N52" s="5"/>
      <c r="O52" s="5"/>
      <c r="P52" s="5"/>
      <c r="Q52" s="5">
        <f>SUM(Q2:Q49)</f>
        <v>139409.19498103621</v>
      </c>
    </row>
    <row r="53" spans="1:17" x14ac:dyDescent="0.25">
      <c r="A53" s="1"/>
      <c r="B53" s="1"/>
      <c r="C53" s="1"/>
      <c r="D53" s="1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5"/>
      <c r="F54" s="1"/>
      <c r="G54" s="3"/>
      <c r="H54" s="1"/>
      <c r="I54" s="1"/>
      <c r="J54" s="1"/>
      <c r="K54" s="37"/>
      <c r="L54" s="1"/>
      <c r="M54" s="1"/>
      <c r="N54" s="1"/>
      <c r="O54" s="1"/>
      <c r="P54" s="1"/>
      <c r="Q54" s="37"/>
    </row>
    <row r="55" spans="1:17" x14ac:dyDescent="0.25">
      <c r="A55" s="1"/>
      <c r="B55" s="1"/>
      <c r="C55" s="1"/>
      <c r="D55" s="1"/>
      <c r="E55" s="1"/>
      <c r="F55" s="1"/>
      <c r="G55" s="3">
        <f>SUM(G2:G54)</f>
        <v>20781.410000000003</v>
      </c>
      <c r="H55" s="1"/>
      <c r="I55" s="5" t="s">
        <v>63</v>
      </c>
      <c r="J55" s="5"/>
      <c r="K55" s="5">
        <f>K52+Q52</f>
        <v>156034.32298103644</v>
      </c>
      <c r="L55" s="1"/>
      <c r="M55" s="1"/>
      <c r="N55" s="1"/>
      <c r="O55" s="1"/>
      <c r="P55" s="1"/>
      <c r="Q55" s="1"/>
    </row>
    <row r="56" spans="1:17" x14ac:dyDescent="0.25">
      <c r="D56" s="8"/>
      <c r="E56" s="26"/>
      <c r="F56" s="8"/>
      <c r="G56" s="75"/>
      <c r="H56" s="8"/>
      <c r="I56" s="26"/>
      <c r="J56" s="26"/>
      <c r="K56" s="26"/>
      <c r="N56" s="6"/>
    </row>
    <row r="57" spans="1:17" x14ac:dyDescent="0.25">
      <c r="D57" s="8"/>
      <c r="E57" s="8"/>
      <c r="F57" s="8"/>
      <c r="G57" s="8"/>
      <c r="H57" s="8"/>
    </row>
    <row r="58" spans="1:17" x14ac:dyDescent="0.25">
      <c r="D58" s="8"/>
      <c r="E58" s="8"/>
      <c r="F58" s="8"/>
      <c r="G58" s="8"/>
      <c r="H58" s="8"/>
      <c r="J58" s="8"/>
      <c r="K58" s="35"/>
      <c r="Q58" s="35"/>
    </row>
    <row r="59" spans="1:17" x14ac:dyDescent="0.25">
      <c r="D59" s="8"/>
      <c r="E59" s="8"/>
      <c r="F59" s="8"/>
      <c r="G59" s="8"/>
      <c r="H59" s="8"/>
      <c r="J59" s="8"/>
      <c r="K59" s="26"/>
    </row>
    <row r="60" spans="1:17" x14ac:dyDescent="0.25">
      <c r="D60" s="8"/>
      <c r="E60" s="8"/>
      <c r="F60" s="8"/>
      <c r="G60" s="26"/>
      <c r="H60" s="8"/>
      <c r="K60" s="26"/>
    </row>
    <row r="61" spans="1:17" x14ac:dyDescent="0.25">
      <c r="D61" s="8"/>
      <c r="E61" s="8"/>
      <c r="F61" s="8"/>
      <c r="G61" s="8"/>
      <c r="H61" s="8"/>
      <c r="K61" s="26"/>
    </row>
    <row r="62" spans="1:17" x14ac:dyDescent="0.25">
      <c r="K62" s="26"/>
    </row>
    <row r="63" spans="1:17" x14ac:dyDescent="0.25">
      <c r="A63" s="6" t="s">
        <v>166</v>
      </c>
      <c r="K63" s="26"/>
    </row>
    <row r="64" spans="1:17" x14ac:dyDescent="0.25">
      <c r="A64" s="6"/>
      <c r="K64" s="26"/>
    </row>
    <row r="65" spans="1:17" x14ac:dyDescent="0.25">
      <c r="A65" s="6"/>
      <c r="K65" s="26"/>
    </row>
    <row r="66" spans="1:17" ht="45" x14ac:dyDescent="0.25">
      <c r="B66" s="1" t="s">
        <v>172</v>
      </c>
      <c r="C66" s="1" t="s">
        <v>168</v>
      </c>
      <c r="D66" s="1" t="s">
        <v>167</v>
      </c>
      <c r="E66" s="1" t="s">
        <v>169</v>
      </c>
      <c r="F66" s="1"/>
      <c r="G66" s="1" t="s">
        <v>22</v>
      </c>
      <c r="H66" s="1" t="s">
        <v>170</v>
      </c>
      <c r="I66" s="1" t="s">
        <v>171</v>
      </c>
      <c r="J66" s="1" t="s">
        <v>52</v>
      </c>
      <c r="K66" s="5" t="s">
        <v>21</v>
      </c>
      <c r="L66" s="17" t="s">
        <v>53</v>
      </c>
      <c r="M66" s="17" t="s">
        <v>54</v>
      </c>
      <c r="N66" s="17" t="s">
        <v>1</v>
      </c>
      <c r="O66" s="17" t="s">
        <v>2</v>
      </c>
      <c r="P66" s="17" t="s">
        <v>3</v>
      </c>
      <c r="Q66" s="17" t="s">
        <v>4</v>
      </c>
    </row>
    <row r="67" spans="1:17" x14ac:dyDescent="0.25">
      <c r="B67" s="1">
        <v>5000223253</v>
      </c>
      <c r="C67" s="1">
        <v>114</v>
      </c>
      <c r="D67" s="1">
        <v>1001921</v>
      </c>
      <c r="E67" s="1" t="s">
        <v>11</v>
      </c>
      <c r="F67" s="1"/>
      <c r="G67" s="1">
        <v>500</v>
      </c>
      <c r="H67" s="1">
        <v>162.9</v>
      </c>
      <c r="I67" s="1">
        <v>179.6</v>
      </c>
      <c r="J67" s="1">
        <f t="shared" ref="J67:J72" si="14">I67-H67</f>
        <v>16.699999999999989</v>
      </c>
      <c r="K67" s="5">
        <f t="shared" ref="K67:K72" si="15">J67*G67</f>
        <v>8349.9999999999945</v>
      </c>
      <c r="L67" s="9">
        <v>20.8</v>
      </c>
      <c r="M67" s="9">
        <v>19.559999999999999</v>
      </c>
      <c r="N67" s="7">
        <f t="shared" ref="N67:N72" si="16">G67/L67</f>
        <v>24.038461538461537</v>
      </c>
      <c r="O67" s="7">
        <f t="shared" ref="O67:O72" si="17">G67/M67</f>
        <v>25.562372188139062</v>
      </c>
      <c r="P67" s="7">
        <f t="shared" ref="P67:P72" si="18">O67-N67</f>
        <v>1.523910649677525</v>
      </c>
      <c r="Q67" s="10">
        <f t="shared" ref="Q67:Q72" si="19">P67*L67*I67</f>
        <v>5692.8425357873366</v>
      </c>
    </row>
    <row r="68" spans="1:17" x14ac:dyDescent="0.25">
      <c r="B68" s="1">
        <v>5000223253</v>
      </c>
      <c r="C68" s="1">
        <v>114</v>
      </c>
      <c r="D68" s="1">
        <v>1001921</v>
      </c>
      <c r="E68" s="1" t="s">
        <v>11</v>
      </c>
      <c r="F68" s="1"/>
      <c r="G68" s="1">
        <v>467.6</v>
      </c>
      <c r="H68" s="1">
        <v>162.9</v>
      </c>
      <c r="I68" s="1">
        <v>179.6</v>
      </c>
      <c r="J68" s="1">
        <f t="shared" si="14"/>
        <v>16.699999999999989</v>
      </c>
      <c r="K68" s="5">
        <f t="shared" si="15"/>
        <v>7808.9199999999946</v>
      </c>
      <c r="L68" s="9">
        <v>20.8</v>
      </c>
      <c r="M68" s="9">
        <v>19.559999999999999</v>
      </c>
      <c r="N68" s="7">
        <f t="shared" si="16"/>
        <v>22.48076923076923</v>
      </c>
      <c r="O68" s="7">
        <f t="shared" si="17"/>
        <v>23.905930470347652</v>
      </c>
      <c r="P68" s="7">
        <f t="shared" si="18"/>
        <v>1.4251612395784221</v>
      </c>
      <c r="Q68" s="10">
        <f t="shared" si="19"/>
        <v>5323.9463394683198</v>
      </c>
    </row>
    <row r="69" spans="1:17" x14ac:dyDescent="0.25">
      <c r="B69" s="1">
        <v>5000223252</v>
      </c>
      <c r="C69" s="1">
        <v>114</v>
      </c>
      <c r="D69" s="1">
        <v>1001922</v>
      </c>
      <c r="E69" s="1" t="s">
        <v>5</v>
      </c>
      <c r="F69" s="1"/>
      <c r="G69" s="3">
        <v>1587.4</v>
      </c>
      <c r="H69" s="1">
        <v>162.9</v>
      </c>
      <c r="I69" s="1">
        <v>179.6</v>
      </c>
      <c r="J69" s="1">
        <f t="shared" si="14"/>
        <v>16.699999999999989</v>
      </c>
      <c r="K69" s="5">
        <f t="shared" si="15"/>
        <v>26509.579999999984</v>
      </c>
      <c r="L69" s="9">
        <v>20.8</v>
      </c>
      <c r="M69" s="9">
        <v>19.559999999999999</v>
      </c>
      <c r="N69" s="7">
        <f t="shared" si="16"/>
        <v>76.317307692307693</v>
      </c>
      <c r="O69" s="7">
        <f t="shared" si="17"/>
        <v>81.155419222903902</v>
      </c>
      <c r="P69" s="7">
        <f t="shared" si="18"/>
        <v>4.8381115305962084</v>
      </c>
      <c r="Q69" s="10">
        <f t="shared" si="19"/>
        <v>18073.636482617643</v>
      </c>
    </row>
    <row r="70" spans="1:17" x14ac:dyDescent="0.25">
      <c r="B70" s="1">
        <v>5000222365</v>
      </c>
      <c r="C70" s="1">
        <v>114</v>
      </c>
      <c r="D70" s="1">
        <v>1001922</v>
      </c>
      <c r="E70" s="1" t="s">
        <v>5</v>
      </c>
      <c r="F70" s="1"/>
      <c r="G70" s="1">
        <v>444.7</v>
      </c>
      <c r="H70" s="1">
        <v>162.9</v>
      </c>
      <c r="I70" s="1">
        <v>179.6</v>
      </c>
      <c r="J70" s="1">
        <f t="shared" si="14"/>
        <v>16.699999999999989</v>
      </c>
      <c r="K70" s="5">
        <f t="shared" si="15"/>
        <v>7426.4899999999943</v>
      </c>
      <c r="L70" s="9">
        <v>20.8</v>
      </c>
      <c r="M70" s="9">
        <v>19.559999999999999</v>
      </c>
      <c r="N70" s="7">
        <f t="shared" si="16"/>
        <v>21.37980769230769</v>
      </c>
      <c r="O70" s="7">
        <f t="shared" si="17"/>
        <v>22.735173824130879</v>
      </c>
      <c r="P70" s="7">
        <f t="shared" si="18"/>
        <v>1.3553661318231889</v>
      </c>
      <c r="Q70" s="10">
        <f t="shared" si="19"/>
        <v>5063.2141513292499</v>
      </c>
    </row>
    <row r="71" spans="1:17" x14ac:dyDescent="0.25">
      <c r="B71" s="1">
        <v>5000221640</v>
      </c>
      <c r="C71" s="1">
        <v>114</v>
      </c>
      <c r="D71" s="1">
        <v>1001922</v>
      </c>
      <c r="E71" s="1" t="s">
        <v>5</v>
      </c>
      <c r="F71" s="1"/>
      <c r="G71" s="3">
        <v>1213.9000000000001</v>
      </c>
      <c r="H71" s="1">
        <v>162.9</v>
      </c>
      <c r="I71" s="1">
        <v>179.6</v>
      </c>
      <c r="J71" s="1">
        <f t="shared" si="14"/>
        <v>16.699999999999989</v>
      </c>
      <c r="K71" s="5">
        <f t="shared" si="15"/>
        <v>20272.129999999986</v>
      </c>
      <c r="L71" s="9">
        <v>20.8</v>
      </c>
      <c r="M71" s="9">
        <v>19.559999999999999</v>
      </c>
      <c r="N71" s="7">
        <f t="shared" si="16"/>
        <v>58.360576923076927</v>
      </c>
      <c r="O71" s="7">
        <f t="shared" si="17"/>
        <v>62.060327198364014</v>
      </c>
      <c r="P71" s="7">
        <f t="shared" si="18"/>
        <v>3.6997502752870872</v>
      </c>
      <c r="Q71" s="10">
        <f t="shared" si="19"/>
        <v>13821.083108384464</v>
      </c>
    </row>
    <row r="72" spans="1:17" x14ac:dyDescent="0.25">
      <c r="B72" s="1">
        <v>5000221534</v>
      </c>
      <c r="C72" s="1">
        <v>114</v>
      </c>
      <c r="D72" s="1">
        <v>1001922</v>
      </c>
      <c r="E72" s="1" t="s">
        <v>5</v>
      </c>
      <c r="F72" s="1"/>
      <c r="G72" s="1">
        <v>795.8</v>
      </c>
      <c r="H72" s="1">
        <v>162.9</v>
      </c>
      <c r="I72" s="1">
        <v>179.6</v>
      </c>
      <c r="J72" s="1">
        <f t="shared" si="14"/>
        <v>16.699999999999989</v>
      </c>
      <c r="K72" s="5">
        <f t="shared" si="15"/>
        <v>13289.85999999999</v>
      </c>
      <c r="L72" s="9">
        <v>20.8</v>
      </c>
      <c r="M72" s="9">
        <v>19.559999999999999</v>
      </c>
      <c r="N72" s="7">
        <f t="shared" si="16"/>
        <v>38.25961538461538</v>
      </c>
      <c r="O72" s="7">
        <f t="shared" si="17"/>
        <v>40.68507157464213</v>
      </c>
      <c r="P72" s="7">
        <f t="shared" si="18"/>
        <v>2.4254561900267504</v>
      </c>
      <c r="Q72" s="10">
        <f t="shared" si="19"/>
        <v>9060.728179959131</v>
      </c>
    </row>
    <row r="73" spans="1:17" x14ac:dyDescent="0.25">
      <c r="B73" s="1"/>
      <c r="C73" s="1"/>
      <c r="D73" s="1"/>
      <c r="E73" s="1"/>
      <c r="F73" s="1"/>
      <c r="G73" s="1"/>
      <c r="H73" s="1"/>
      <c r="I73" s="1"/>
      <c r="J73" s="1"/>
      <c r="K73" s="5"/>
    </row>
    <row r="74" spans="1:17" x14ac:dyDescent="0.25">
      <c r="B74" s="1"/>
      <c r="C74" s="1"/>
      <c r="D74" s="1"/>
      <c r="E74" s="1"/>
      <c r="F74" s="1"/>
      <c r="G74" s="5">
        <f>SUM(G67:G72)</f>
        <v>5009.4000000000005</v>
      </c>
      <c r="H74" s="1"/>
      <c r="I74" s="1"/>
      <c r="J74" s="1" t="s">
        <v>58</v>
      </c>
      <c r="K74" s="5">
        <f>SUM(K67:K72)</f>
        <v>83656.979999999938</v>
      </c>
      <c r="Q74" s="5">
        <f>SUM(Q67:Q72)</f>
        <v>57035.450797546146</v>
      </c>
    </row>
    <row r="75" spans="1:17" x14ac:dyDescent="0.25">
      <c r="B75" s="8"/>
      <c r="C75" s="8"/>
      <c r="D75" s="8"/>
      <c r="E75" s="8"/>
      <c r="F75" s="8"/>
      <c r="G75" s="26"/>
      <c r="H75" s="8"/>
      <c r="I75" s="8"/>
      <c r="J75" s="8"/>
      <c r="K75" s="26"/>
    </row>
    <row r="76" spans="1:17" x14ac:dyDescent="0.25">
      <c r="B76" s="8"/>
      <c r="C76" s="5" t="s">
        <v>252</v>
      </c>
      <c r="D76" s="1"/>
      <c r="E76" s="10">
        <f>G74</f>
        <v>5009.4000000000005</v>
      </c>
      <c r="F76" s="8"/>
      <c r="G76" s="26"/>
      <c r="H76" s="8"/>
      <c r="I76" s="8"/>
      <c r="J76" s="8"/>
      <c r="K76" s="26"/>
      <c r="L76" s="8"/>
      <c r="M76" s="8"/>
      <c r="N76" s="8"/>
    </row>
    <row r="77" spans="1:17" x14ac:dyDescent="0.25">
      <c r="B77" s="8"/>
      <c r="C77" s="1" t="s">
        <v>279</v>
      </c>
      <c r="D77" s="1"/>
      <c r="E77" s="1">
        <v>162.9</v>
      </c>
      <c r="F77" s="8"/>
      <c r="G77" s="26"/>
      <c r="H77" s="8"/>
      <c r="I77" s="8"/>
      <c r="J77" s="8"/>
      <c r="K77" s="26"/>
    </row>
    <row r="78" spans="1:17" x14ac:dyDescent="0.25">
      <c r="C78" s="1" t="s">
        <v>280</v>
      </c>
      <c r="D78" s="1"/>
      <c r="E78" s="1">
        <v>165.35</v>
      </c>
      <c r="I78" s="26" t="s">
        <v>63</v>
      </c>
      <c r="K78" s="26">
        <f>K74+Q74</f>
        <v>140692.43079754608</v>
      </c>
    </row>
    <row r="79" spans="1:17" x14ac:dyDescent="0.25">
      <c r="C79" s="1" t="s">
        <v>239</v>
      </c>
      <c r="D79" s="1"/>
      <c r="E79" s="1">
        <f>E78-E77</f>
        <v>2.4499999999999886</v>
      </c>
      <c r="K79" s="26"/>
    </row>
    <row r="80" spans="1:17" x14ac:dyDescent="0.25">
      <c r="C80" s="1" t="s">
        <v>240</v>
      </c>
      <c r="D80" s="1"/>
      <c r="E80" s="5">
        <f>E76*E79</f>
        <v>12273.029999999944</v>
      </c>
      <c r="K80" s="26"/>
    </row>
    <row r="82" spans="1:11" x14ac:dyDescent="0.25">
      <c r="A82" s="6" t="s">
        <v>79</v>
      </c>
    </row>
    <row r="83" spans="1:11" x14ac:dyDescent="0.25">
      <c r="B83" s="1" t="s">
        <v>172</v>
      </c>
      <c r="C83" s="1" t="s">
        <v>168</v>
      </c>
      <c r="D83" s="1" t="s">
        <v>167</v>
      </c>
      <c r="E83" s="1" t="s">
        <v>169</v>
      </c>
      <c r="F83" s="1"/>
      <c r="G83" s="1" t="s">
        <v>22</v>
      </c>
      <c r="H83" s="1" t="s">
        <v>50</v>
      </c>
      <c r="I83" s="1" t="s">
        <v>192</v>
      </c>
      <c r="J83" s="1" t="s">
        <v>52</v>
      </c>
      <c r="K83" s="1" t="s">
        <v>21</v>
      </c>
    </row>
    <row r="84" spans="1:11" x14ac:dyDescent="0.25">
      <c r="A84" t="s">
        <v>261</v>
      </c>
      <c r="B84" s="1">
        <v>5000230121</v>
      </c>
      <c r="C84" s="1">
        <v>114</v>
      </c>
      <c r="D84" s="1">
        <v>1000044</v>
      </c>
      <c r="E84" s="1" t="s">
        <v>269</v>
      </c>
      <c r="F84" s="1"/>
      <c r="G84" s="2">
        <v>13000</v>
      </c>
      <c r="H84" s="1">
        <v>132.5</v>
      </c>
      <c r="I84" s="5">
        <v>139.41999999999999</v>
      </c>
      <c r="J84" s="1">
        <f>I84-H84</f>
        <v>6.9199999999999875</v>
      </c>
      <c r="K84" s="5">
        <f>G84*J84/325</f>
        <v>276.7999999999995</v>
      </c>
    </row>
    <row r="85" spans="1:11" x14ac:dyDescent="0.25">
      <c r="A85" t="s">
        <v>261</v>
      </c>
      <c r="B85" s="1">
        <v>5000230121</v>
      </c>
      <c r="C85" s="1">
        <v>114</v>
      </c>
      <c r="D85" s="1">
        <v>1000065</v>
      </c>
      <c r="E85" s="1" t="s">
        <v>80</v>
      </c>
      <c r="F85" s="1"/>
      <c r="G85" s="2">
        <v>8100</v>
      </c>
      <c r="H85" s="1">
        <v>41.3</v>
      </c>
      <c r="I85" s="5">
        <v>43.38</v>
      </c>
      <c r="J85" s="1">
        <f t="shared" ref="J85:J96" si="20">I85-H85</f>
        <v>2.0800000000000054</v>
      </c>
      <c r="K85" s="5">
        <f t="shared" ref="K85:K94" si="21">G85*J85/130</f>
        <v>129.60000000000034</v>
      </c>
    </row>
    <row r="86" spans="1:11" x14ac:dyDescent="0.25">
      <c r="A86" t="s">
        <v>261</v>
      </c>
      <c r="B86" s="1">
        <v>5000230121</v>
      </c>
      <c r="C86" s="1">
        <v>114</v>
      </c>
      <c r="D86" s="1">
        <v>1000065</v>
      </c>
      <c r="E86" s="1" t="s">
        <v>80</v>
      </c>
      <c r="F86" s="1"/>
      <c r="G86" s="1">
        <v>480</v>
      </c>
      <c r="H86" s="1">
        <v>41.3</v>
      </c>
      <c r="I86" s="5">
        <v>43.38</v>
      </c>
      <c r="J86" s="1">
        <f t="shared" si="20"/>
        <v>2.0800000000000054</v>
      </c>
      <c r="K86" s="5">
        <f t="shared" si="21"/>
        <v>7.6800000000000201</v>
      </c>
    </row>
    <row r="87" spans="1:11" x14ac:dyDescent="0.25">
      <c r="A87" t="s">
        <v>270</v>
      </c>
      <c r="B87" s="1">
        <v>5000225978</v>
      </c>
      <c r="C87" s="1">
        <v>114</v>
      </c>
      <c r="D87" s="1">
        <v>1000065</v>
      </c>
      <c r="E87" s="1" t="s">
        <v>80</v>
      </c>
      <c r="F87" s="1"/>
      <c r="G87" s="2">
        <v>22880</v>
      </c>
      <c r="H87" s="1">
        <v>41.3</v>
      </c>
      <c r="I87" s="5">
        <v>43.38</v>
      </c>
      <c r="J87" s="1">
        <f t="shared" si="20"/>
        <v>2.0800000000000054</v>
      </c>
      <c r="K87" s="5">
        <f t="shared" si="21"/>
        <v>366.08000000000095</v>
      </c>
    </row>
    <row r="88" spans="1:11" x14ac:dyDescent="0.25">
      <c r="A88" t="s">
        <v>271</v>
      </c>
      <c r="B88" s="1">
        <v>5000225304</v>
      </c>
      <c r="C88" s="1">
        <v>114</v>
      </c>
      <c r="D88" s="1">
        <v>1000065</v>
      </c>
      <c r="E88" s="1" t="s">
        <v>80</v>
      </c>
      <c r="F88" s="1"/>
      <c r="G88" s="2">
        <v>2340</v>
      </c>
      <c r="H88" s="1">
        <v>41.3</v>
      </c>
      <c r="I88" s="5">
        <v>43.38</v>
      </c>
      <c r="J88" s="1">
        <f t="shared" si="20"/>
        <v>2.0800000000000054</v>
      </c>
      <c r="K88" s="5">
        <f t="shared" si="21"/>
        <v>37.440000000000097</v>
      </c>
    </row>
    <row r="89" spans="1:11" x14ac:dyDescent="0.25">
      <c r="A89" t="s">
        <v>271</v>
      </c>
      <c r="B89" s="1">
        <v>5000225304</v>
      </c>
      <c r="C89" s="1">
        <v>114</v>
      </c>
      <c r="D89" s="1">
        <v>1000065</v>
      </c>
      <c r="E89" s="1" t="s">
        <v>80</v>
      </c>
      <c r="F89" s="1"/>
      <c r="G89" s="2">
        <v>4940</v>
      </c>
      <c r="H89" s="1">
        <v>41.3</v>
      </c>
      <c r="I89" s="5">
        <v>43.38</v>
      </c>
      <c r="J89" s="1">
        <f t="shared" si="20"/>
        <v>2.0800000000000054</v>
      </c>
      <c r="K89" s="5">
        <f t="shared" si="21"/>
        <v>79.040000000000205</v>
      </c>
    </row>
    <row r="90" spans="1:11" x14ac:dyDescent="0.25">
      <c r="A90" t="s">
        <v>271</v>
      </c>
      <c r="B90" s="1">
        <v>5000225304</v>
      </c>
      <c r="C90" s="1">
        <v>114</v>
      </c>
      <c r="D90" s="1">
        <v>1000065</v>
      </c>
      <c r="E90" s="1" t="s">
        <v>80</v>
      </c>
      <c r="F90" s="1"/>
      <c r="G90" s="2">
        <v>17680</v>
      </c>
      <c r="H90" s="1">
        <v>41.3</v>
      </c>
      <c r="I90" s="5">
        <v>43.38</v>
      </c>
      <c r="J90" s="1">
        <f t="shared" si="20"/>
        <v>2.0800000000000054</v>
      </c>
      <c r="K90" s="5">
        <f t="shared" si="21"/>
        <v>282.88000000000073</v>
      </c>
    </row>
    <row r="91" spans="1:11" x14ac:dyDescent="0.25">
      <c r="A91" t="s">
        <v>261</v>
      </c>
      <c r="B91" s="1">
        <v>5000230121</v>
      </c>
      <c r="C91" s="1">
        <v>114</v>
      </c>
      <c r="D91" s="1">
        <v>1000074</v>
      </c>
      <c r="E91" s="1" t="s">
        <v>81</v>
      </c>
      <c r="F91" s="1"/>
      <c r="G91" s="2">
        <v>3380</v>
      </c>
      <c r="H91" s="1">
        <v>41.3</v>
      </c>
      <c r="I91" s="5">
        <v>43.38</v>
      </c>
      <c r="J91" s="1">
        <f t="shared" si="20"/>
        <v>2.0800000000000054</v>
      </c>
      <c r="K91" s="5">
        <f t="shared" si="21"/>
        <v>54.08000000000014</v>
      </c>
    </row>
    <row r="92" spans="1:11" x14ac:dyDescent="0.25">
      <c r="A92" t="s">
        <v>271</v>
      </c>
      <c r="B92" s="1">
        <v>5000225304</v>
      </c>
      <c r="C92" s="1">
        <v>114</v>
      </c>
      <c r="D92" s="1">
        <v>1000074</v>
      </c>
      <c r="E92" s="1" t="s">
        <v>81</v>
      </c>
      <c r="F92" s="1"/>
      <c r="G92" s="2">
        <v>14820</v>
      </c>
      <c r="H92" s="1">
        <v>41.3</v>
      </c>
      <c r="I92" s="5">
        <v>43.38</v>
      </c>
      <c r="J92" s="1">
        <f t="shared" si="20"/>
        <v>2.0800000000000054</v>
      </c>
      <c r="K92" s="5">
        <f t="shared" si="21"/>
        <v>237.1200000000006</v>
      </c>
    </row>
    <row r="93" spans="1:11" x14ac:dyDescent="0.25">
      <c r="A93" t="s">
        <v>271</v>
      </c>
      <c r="B93" s="1">
        <v>5000225304</v>
      </c>
      <c r="C93" s="1">
        <v>114</v>
      </c>
      <c r="D93" s="1">
        <v>1000074</v>
      </c>
      <c r="E93" s="1" t="s">
        <v>81</v>
      </c>
      <c r="F93" s="1"/>
      <c r="G93" s="2">
        <v>10140</v>
      </c>
      <c r="H93" s="1">
        <v>41.3</v>
      </c>
      <c r="I93" s="5">
        <v>43.38</v>
      </c>
      <c r="J93" s="1">
        <f t="shared" si="20"/>
        <v>2.0800000000000054</v>
      </c>
      <c r="K93" s="5">
        <f t="shared" si="21"/>
        <v>162.24000000000044</v>
      </c>
    </row>
    <row r="94" spans="1:11" x14ac:dyDescent="0.25">
      <c r="A94" t="s">
        <v>271</v>
      </c>
      <c r="B94" s="1">
        <v>5000225304</v>
      </c>
      <c r="C94" s="1">
        <v>114</v>
      </c>
      <c r="D94" s="1">
        <v>1000074</v>
      </c>
      <c r="E94" s="1" t="s">
        <v>81</v>
      </c>
      <c r="F94" s="1"/>
      <c r="G94" s="2">
        <v>21580</v>
      </c>
      <c r="H94" s="1">
        <v>41.3</v>
      </c>
      <c r="I94" s="5">
        <v>43.38</v>
      </c>
      <c r="J94" s="1">
        <f t="shared" si="20"/>
        <v>2.0800000000000054</v>
      </c>
      <c r="K94" s="5">
        <f t="shared" si="21"/>
        <v>345.28000000000088</v>
      </c>
    </row>
    <row r="95" spans="1:11" x14ac:dyDescent="0.25">
      <c r="A95" t="s">
        <v>263</v>
      </c>
      <c r="B95" s="1">
        <v>5000224164</v>
      </c>
      <c r="C95" s="1">
        <v>114</v>
      </c>
      <c r="D95" s="1">
        <v>1000090</v>
      </c>
      <c r="E95" s="1" t="s">
        <v>112</v>
      </c>
      <c r="F95" s="1"/>
      <c r="G95" s="2">
        <v>2275</v>
      </c>
      <c r="H95" s="1">
        <v>134.5</v>
      </c>
      <c r="I95" s="5">
        <v>139.41999999999999</v>
      </c>
      <c r="J95" s="1">
        <f t="shared" si="20"/>
        <v>4.9199999999999875</v>
      </c>
      <c r="K95" s="5">
        <f>G95*J95/325</f>
        <v>34.439999999999912</v>
      </c>
    </row>
    <row r="96" spans="1:11" x14ac:dyDescent="0.25">
      <c r="A96" t="s">
        <v>263</v>
      </c>
      <c r="B96" s="1">
        <v>5000224164</v>
      </c>
      <c r="C96" s="1">
        <v>114</v>
      </c>
      <c r="D96" s="1">
        <v>1000090</v>
      </c>
      <c r="E96" s="1" t="s">
        <v>112</v>
      </c>
      <c r="F96" s="1"/>
      <c r="G96" s="2">
        <v>32825</v>
      </c>
      <c r="H96" s="1">
        <v>134.5</v>
      </c>
      <c r="I96" s="5">
        <v>139.41999999999999</v>
      </c>
      <c r="J96" s="1">
        <f t="shared" si="20"/>
        <v>4.9199999999999875</v>
      </c>
      <c r="K96" s="5">
        <f>G96*J96/325</f>
        <v>496.91999999999877</v>
      </c>
    </row>
    <row r="97" spans="1:11" x14ac:dyDescent="0.25">
      <c r="A97" t="s">
        <v>270</v>
      </c>
      <c r="B97" s="1">
        <v>5000225978</v>
      </c>
      <c r="C97" s="1">
        <v>114</v>
      </c>
      <c r="D97" s="1">
        <v>1000107</v>
      </c>
      <c r="E97" s="1" t="s">
        <v>82</v>
      </c>
      <c r="F97" s="1"/>
      <c r="G97" s="2">
        <v>13000</v>
      </c>
      <c r="H97" s="1">
        <v>41.3</v>
      </c>
      <c r="I97" s="5">
        <v>43.38</v>
      </c>
      <c r="J97" s="1">
        <f>I97-H97</f>
        <v>2.0800000000000054</v>
      </c>
      <c r="K97" s="5">
        <f>G97*J97/130</f>
        <v>208.00000000000054</v>
      </c>
    </row>
    <row r="98" spans="1:11" x14ac:dyDescent="0.25">
      <c r="A98" t="s">
        <v>271</v>
      </c>
      <c r="B98" s="1">
        <v>5000225304</v>
      </c>
      <c r="C98" s="1">
        <v>114</v>
      </c>
      <c r="D98" s="1">
        <v>1001355</v>
      </c>
      <c r="E98" s="1" t="s">
        <v>111</v>
      </c>
      <c r="F98" s="1"/>
      <c r="G98" s="2">
        <v>29250</v>
      </c>
      <c r="H98" s="1">
        <v>132.5</v>
      </c>
      <c r="I98" s="5">
        <v>139.41999999999999</v>
      </c>
      <c r="J98" s="1">
        <f>I98-H98</f>
        <v>6.9199999999999875</v>
      </c>
      <c r="K98" s="5">
        <f>G98*J98/325</f>
        <v>622.79999999999882</v>
      </c>
    </row>
    <row r="99" spans="1:11" x14ac:dyDescent="0.25">
      <c r="A99" t="s">
        <v>263</v>
      </c>
      <c r="B99" s="1">
        <v>5000224164</v>
      </c>
      <c r="C99" s="1">
        <v>114</v>
      </c>
      <c r="D99" s="1">
        <v>1001355</v>
      </c>
      <c r="E99" s="1" t="s">
        <v>111</v>
      </c>
      <c r="F99" s="1"/>
      <c r="G99" s="2">
        <v>78000</v>
      </c>
      <c r="H99" s="1">
        <v>132.5</v>
      </c>
      <c r="I99" s="5">
        <v>139.41999999999999</v>
      </c>
      <c r="J99" s="1">
        <f>I99-H99</f>
        <v>6.9199999999999875</v>
      </c>
      <c r="K99" s="5">
        <f>G99*J99/325</f>
        <v>1660.7999999999972</v>
      </c>
    </row>
    <row r="100" spans="1:11" x14ac:dyDescent="0.25">
      <c r="A100" t="s">
        <v>270</v>
      </c>
      <c r="B100" s="1">
        <v>5000225978</v>
      </c>
      <c r="C100" s="1">
        <v>114</v>
      </c>
      <c r="D100" s="1">
        <v>1001761</v>
      </c>
      <c r="E100" s="1" t="s">
        <v>193</v>
      </c>
      <c r="F100" s="1"/>
      <c r="G100" s="2">
        <v>13000</v>
      </c>
      <c r="H100" s="1">
        <v>41.3</v>
      </c>
      <c r="I100" s="5">
        <v>43.38</v>
      </c>
      <c r="J100" s="1">
        <f>I100-H100</f>
        <v>2.0800000000000054</v>
      </c>
      <c r="K100" s="5">
        <f>G100*J100/130</f>
        <v>208.00000000000054</v>
      </c>
    </row>
    <row r="101" spans="1:11" x14ac:dyDescent="0.25">
      <c r="A101" t="s">
        <v>261</v>
      </c>
      <c r="B101" s="1">
        <v>5000230121</v>
      </c>
      <c r="C101" s="1">
        <v>114</v>
      </c>
      <c r="D101" s="1">
        <v>1001771</v>
      </c>
      <c r="E101" s="1" t="s">
        <v>83</v>
      </c>
      <c r="F101" s="1"/>
      <c r="G101" s="2">
        <v>70200</v>
      </c>
      <c r="H101" s="1">
        <v>134.5</v>
      </c>
      <c r="I101" s="5">
        <v>139.41999999999999</v>
      </c>
      <c r="J101" s="1">
        <f t="shared" ref="J101:J123" si="22">I101-H101</f>
        <v>4.9199999999999875</v>
      </c>
      <c r="K101" s="5">
        <f t="shared" ref="K101:K123" si="23">G101*J101/325</f>
        <v>1062.7199999999973</v>
      </c>
    </row>
    <row r="102" spans="1:11" x14ac:dyDescent="0.25">
      <c r="A102" t="s">
        <v>272</v>
      </c>
      <c r="B102" s="1">
        <v>5000227693</v>
      </c>
      <c r="C102" s="1">
        <v>114</v>
      </c>
      <c r="D102" s="1">
        <v>1001771</v>
      </c>
      <c r="E102" s="1" t="s">
        <v>83</v>
      </c>
      <c r="F102" s="1"/>
      <c r="G102" s="2">
        <v>263250</v>
      </c>
      <c r="H102" s="1">
        <v>134.5</v>
      </c>
      <c r="I102" s="5">
        <v>139.41999999999999</v>
      </c>
      <c r="J102" s="1">
        <f t="shared" si="22"/>
        <v>4.9199999999999875</v>
      </c>
      <c r="K102" s="5">
        <f t="shared" si="23"/>
        <v>3985.1999999999898</v>
      </c>
    </row>
    <row r="103" spans="1:11" x14ac:dyDescent="0.25">
      <c r="A103" t="s">
        <v>270</v>
      </c>
      <c r="B103" s="1">
        <v>5000225978</v>
      </c>
      <c r="C103" s="1">
        <v>114</v>
      </c>
      <c r="D103" s="1">
        <v>1001771</v>
      </c>
      <c r="E103" s="1" t="s">
        <v>83</v>
      </c>
      <c r="F103" s="1"/>
      <c r="G103" s="2">
        <v>157950</v>
      </c>
      <c r="H103" s="1">
        <v>134.5</v>
      </c>
      <c r="I103" s="5">
        <v>139.41999999999999</v>
      </c>
      <c r="J103" s="1">
        <f t="shared" si="22"/>
        <v>4.9199999999999875</v>
      </c>
      <c r="K103" s="5">
        <f t="shared" si="23"/>
        <v>2391.119999999994</v>
      </c>
    </row>
    <row r="104" spans="1:11" x14ac:dyDescent="0.25">
      <c r="A104" t="s">
        <v>271</v>
      </c>
      <c r="B104" s="1">
        <v>5000225304</v>
      </c>
      <c r="C104" s="1">
        <v>114</v>
      </c>
      <c r="D104" s="1">
        <v>1001771</v>
      </c>
      <c r="E104" s="1" t="s">
        <v>83</v>
      </c>
      <c r="F104" s="1"/>
      <c r="G104" s="2">
        <v>157950</v>
      </c>
      <c r="H104" s="1">
        <v>134.5</v>
      </c>
      <c r="I104" s="5">
        <v>139.41999999999999</v>
      </c>
      <c r="J104" s="1">
        <f t="shared" si="22"/>
        <v>4.9199999999999875</v>
      </c>
      <c r="K104" s="5">
        <f t="shared" si="23"/>
        <v>2391.119999999994</v>
      </c>
    </row>
    <row r="105" spans="1:11" x14ac:dyDescent="0.25">
      <c r="A105" t="s">
        <v>263</v>
      </c>
      <c r="B105" s="1">
        <v>5000224164</v>
      </c>
      <c r="C105" s="1">
        <v>114</v>
      </c>
      <c r="D105" s="1">
        <v>1001771</v>
      </c>
      <c r="E105" s="1" t="s">
        <v>83</v>
      </c>
      <c r="F105" s="1"/>
      <c r="G105" s="2">
        <v>104650</v>
      </c>
      <c r="H105" s="1">
        <v>134.5</v>
      </c>
      <c r="I105" s="5">
        <v>139.41999999999999</v>
      </c>
      <c r="J105" s="1">
        <f t="shared" si="22"/>
        <v>4.9199999999999875</v>
      </c>
      <c r="K105" s="5">
        <f t="shared" si="23"/>
        <v>1584.2399999999961</v>
      </c>
    </row>
    <row r="106" spans="1:11" x14ac:dyDescent="0.25">
      <c r="A106" t="s">
        <v>272</v>
      </c>
      <c r="B106" s="1">
        <v>5000227693</v>
      </c>
      <c r="C106" s="1">
        <v>114</v>
      </c>
      <c r="D106" s="1">
        <v>1001929</v>
      </c>
      <c r="E106" s="1" t="s">
        <v>84</v>
      </c>
      <c r="F106" s="1"/>
      <c r="G106" s="2">
        <v>15925</v>
      </c>
      <c r="H106" s="1">
        <v>134.5</v>
      </c>
      <c r="I106" s="5">
        <v>139.41999999999999</v>
      </c>
      <c r="J106" s="1">
        <f t="shared" si="22"/>
        <v>4.9199999999999875</v>
      </c>
      <c r="K106" s="5">
        <f t="shared" si="23"/>
        <v>241.07999999999939</v>
      </c>
    </row>
    <row r="107" spans="1:11" x14ac:dyDescent="0.25">
      <c r="A107" t="s">
        <v>272</v>
      </c>
      <c r="B107" s="1">
        <v>5000227693</v>
      </c>
      <c r="C107" s="1">
        <v>114</v>
      </c>
      <c r="D107" s="1">
        <v>1001929</v>
      </c>
      <c r="E107" s="1" t="s">
        <v>84</v>
      </c>
      <c r="F107" s="1"/>
      <c r="G107" s="2">
        <v>53950</v>
      </c>
      <c r="H107" s="1">
        <v>134.5</v>
      </c>
      <c r="I107" s="5">
        <v>139.41999999999999</v>
      </c>
      <c r="J107" s="1">
        <f t="shared" si="22"/>
        <v>4.9199999999999875</v>
      </c>
      <c r="K107" s="5">
        <f t="shared" si="23"/>
        <v>816.71999999999787</v>
      </c>
    </row>
    <row r="108" spans="1:11" x14ac:dyDescent="0.25">
      <c r="A108" t="s">
        <v>271</v>
      </c>
      <c r="B108" s="1">
        <v>5000225304</v>
      </c>
      <c r="C108" s="1">
        <v>114</v>
      </c>
      <c r="D108" s="1">
        <v>1001929</v>
      </c>
      <c r="E108" s="1" t="s">
        <v>84</v>
      </c>
      <c r="F108" s="1"/>
      <c r="G108" s="1">
        <v>700</v>
      </c>
      <c r="H108" s="1">
        <v>134.5</v>
      </c>
      <c r="I108" s="5">
        <v>139.41999999999999</v>
      </c>
      <c r="J108" s="1">
        <f t="shared" si="22"/>
        <v>4.9199999999999875</v>
      </c>
      <c r="K108" s="5">
        <f t="shared" si="23"/>
        <v>10.59692307692305</v>
      </c>
    </row>
    <row r="109" spans="1:11" x14ac:dyDescent="0.25">
      <c r="A109" t="s">
        <v>271</v>
      </c>
      <c r="B109" s="1">
        <v>5000225304</v>
      </c>
      <c r="C109" s="1">
        <v>114</v>
      </c>
      <c r="D109" s="1">
        <v>1001929</v>
      </c>
      <c r="E109" s="1" t="s">
        <v>84</v>
      </c>
      <c r="F109" s="1"/>
      <c r="G109" s="2">
        <v>33100</v>
      </c>
      <c r="H109" s="1">
        <v>134.5</v>
      </c>
      <c r="I109" s="5">
        <v>139.41999999999999</v>
      </c>
      <c r="J109" s="1">
        <f t="shared" si="22"/>
        <v>4.9199999999999875</v>
      </c>
      <c r="K109" s="5">
        <f t="shared" si="23"/>
        <v>501.08307692307568</v>
      </c>
    </row>
    <row r="110" spans="1:11" x14ac:dyDescent="0.25">
      <c r="A110" t="s">
        <v>263</v>
      </c>
      <c r="B110" s="1">
        <v>5000224164</v>
      </c>
      <c r="C110" s="1">
        <v>114</v>
      </c>
      <c r="D110" s="1">
        <v>1001929</v>
      </c>
      <c r="E110" s="1" t="s">
        <v>84</v>
      </c>
      <c r="F110" s="1"/>
      <c r="G110" s="2">
        <v>134550</v>
      </c>
      <c r="H110" s="1">
        <v>134.5</v>
      </c>
      <c r="I110" s="5">
        <v>139.41999999999999</v>
      </c>
      <c r="J110" s="1">
        <f t="shared" si="22"/>
        <v>4.9199999999999875</v>
      </c>
      <c r="K110" s="5">
        <f t="shared" si="23"/>
        <v>2036.8799999999949</v>
      </c>
    </row>
    <row r="111" spans="1:11" x14ac:dyDescent="0.25">
      <c r="A111" t="s">
        <v>270</v>
      </c>
      <c r="B111" s="1">
        <v>5000225978</v>
      </c>
      <c r="C111" s="1">
        <v>114</v>
      </c>
      <c r="D111" s="1">
        <v>1001932</v>
      </c>
      <c r="E111" s="1" t="s">
        <v>85</v>
      </c>
      <c r="F111" s="1"/>
      <c r="G111" s="2">
        <v>43875</v>
      </c>
      <c r="H111" s="1">
        <v>161.4</v>
      </c>
      <c r="I111" s="5">
        <v>167.54</v>
      </c>
      <c r="J111" s="1">
        <f t="shared" si="22"/>
        <v>6.1399999999999864</v>
      </c>
      <c r="K111" s="5">
        <f t="shared" si="23"/>
        <v>828.89999999999816</v>
      </c>
    </row>
    <row r="112" spans="1:11" x14ac:dyDescent="0.25">
      <c r="A112" t="s">
        <v>271</v>
      </c>
      <c r="B112" s="1">
        <v>5000225304</v>
      </c>
      <c r="C112" s="1">
        <v>114</v>
      </c>
      <c r="D112" s="1">
        <v>1001932</v>
      </c>
      <c r="E112" s="1" t="s">
        <v>85</v>
      </c>
      <c r="F112" s="1"/>
      <c r="G112" s="2">
        <v>55270</v>
      </c>
      <c r="H112" s="1">
        <v>161.4</v>
      </c>
      <c r="I112" s="5">
        <v>167.54</v>
      </c>
      <c r="J112" s="1">
        <f t="shared" si="22"/>
        <v>6.1399999999999864</v>
      </c>
      <c r="K112" s="5">
        <f t="shared" si="23"/>
        <v>1044.1778461538438</v>
      </c>
    </row>
    <row r="113" spans="1:11" x14ac:dyDescent="0.25">
      <c r="A113" t="s">
        <v>271</v>
      </c>
      <c r="B113" s="1">
        <v>5000225304</v>
      </c>
      <c r="C113" s="1">
        <v>114</v>
      </c>
      <c r="D113" s="1">
        <v>1001932</v>
      </c>
      <c r="E113" s="1" t="s">
        <v>85</v>
      </c>
      <c r="F113" s="1"/>
      <c r="G113" s="2">
        <v>32500</v>
      </c>
      <c r="H113" s="1">
        <v>161.4</v>
      </c>
      <c r="I113" s="5">
        <v>167.54</v>
      </c>
      <c r="J113" s="1">
        <f t="shared" si="22"/>
        <v>6.1399999999999864</v>
      </c>
      <c r="K113" s="5">
        <f t="shared" si="23"/>
        <v>613.99999999999864</v>
      </c>
    </row>
    <row r="114" spans="1:11" x14ac:dyDescent="0.25">
      <c r="A114" t="s">
        <v>271</v>
      </c>
      <c r="B114" s="1">
        <v>5000225304</v>
      </c>
      <c r="C114" s="1">
        <v>114</v>
      </c>
      <c r="D114" s="1">
        <v>1001932</v>
      </c>
      <c r="E114" s="1" t="s">
        <v>85</v>
      </c>
      <c r="F114" s="1"/>
      <c r="G114" s="2">
        <v>32480</v>
      </c>
      <c r="H114" s="1">
        <v>161.4</v>
      </c>
      <c r="I114" s="5">
        <v>167.54</v>
      </c>
      <c r="J114" s="1">
        <f t="shared" si="22"/>
        <v>6.1399999999999864</v>
      </c>
      <c r="K114" s="5">
        <f t="shared" si="23"/>
        <v>613.6221538461524</v>
      </c>
    </row>
    <row r="115" spans="1:11" x14ac:dyDescent="0.25">
      <c r="A115" t="s">
        <v>271</v>
      </c>
      <c r="B115" s="1">
        <v>5000225304</v>
      </c>
      <c r="C115" s="1">
        <v>114</v>
      </c>
      <c r="D115" s="1">
        <v>1001932</v>
      </c>
      <c r="E115" s="1" t="s">
        <v>85</v>
      </c>
      <c r="F115" s="1"/>
      <c r="G115" s="2">
        <v>22100</v>
      </c>
      <c r="H115" s="1">
        <v>161.4</v>
      </c>
      <c r="I115" s="5">
        <v>167.54</v>
      </c>
      <c r="J115" s="1">
        <f t="shared" si="22"/>
        <v>6.1399999999999864</v>
      </c>
      <c r="K115" s="5">
        <f t="shared" si="23"/>
        <v>417.51999999999913</v>
      </c>
    </row>
    <row r="116" spans="1:11" x14ac:dyDescent="0.25">
      <c r="A116" t="s">
        <v>261</v>
      </c>
      <c r="B116" s="1">
        <v>5000230121</v>
      </c>
      <c r="C116" s="1">
        <v>114</v>
      </c>
      <c r="D116" s="1">
        <v>1002029</v>
      </c>
      <c r="E116" s="1" t="s">
        <v>86</v>
      </c>
      <c r="F116" s="1"/>
      <c r="G116" s="2">
        <v>23305</v>
      </c>
      <c r="H116" s="1">
        <v>161.4</v>
      </c>
      <c r="I116" s="5">
        <v>167.54</v>
      </c>
      <c r="J116" s="1">
        <f t="shared" si="22"/>
        <v>6.1399999999999864</v>
      </c>
      <c r="K116" s="5">
        <f t="shared" si="23"/>
        <v>440.28523076922983</v>
      </c>
    </row>
    <row r="117" spans="1:11" x14ac:dyDescent="0.25">
      <c r="A117" t="s">
        <v>261</v>
      </c>
      <c r="B117" s="1">
        <v>5000230121</v>
      </c>
      <c r="C117" s="1">
        <v>114</v>
      </c>
      <c r="D117" s="1">
        <v>1002029</v>
      </c>
      <c r="E117" s="1" t="s">
        <v>86</v>
      </c>
      <c r="F117" s="1"/>
      <c r="G117" s="2">
        <v>108320</v>
      </c>
      <c r="H117" s="1">
        <v>161.4</v>
      </c>
      <c r="I117" s="5">
        <v>167.54</v>
      </c>
      <c r="J117" s="1">
        <f t="shared" si="22"/>
        <v>6.1399999999999864</v>
      </c>
      <c r="K117" s="5">
        <f t="shared" si="23"/>
        <v>2046.4147692307647</v>
      </c>
    </row>
    <row r="118" spans="1:11" x14ac:dyDescent="0.25">
      <c r="A118" t="s">
        <v>272</v>
      </c>
      <c r="B118" s="1">
        <v>5000227693</v>
      </c>
      <c r="C118" s="1">
        <v>114</v>
      </c>
      <c r="D118" s="1">
        <v>1002029</v>
      </c>
      <c r="E118" s="1" t="s">
        <v>86</v>
      </c>
      <c r="F118" s="1"/>
      <c r="G118" s="2">
        <v>35100</v>
      </c>
      <c r="H118" s="1">
        <v>161.4</v>
      </c>
      <c r="I118" s="5">
        <v>167.54</v>
      </c>
      <c r="J118" s="1">
        <f t="shared" si="22"/>
        <v>6.1399999999999864</v>
      </c>
      <c r="K118" s="5">
        <f t="shared" si="23"/>
        <v>663.11999999999853</v>
      </c>
    </row>
    <row r="119" spans="1:11" x14ac:dyDescent="0.25">
      <c r="A119" t="s">
        <v>271</v>
      </c>
      <c r="B119" s="1">
        <v>5000225304</v>
      </c>
      <c r="C119" s="1">
        <v>114</v>
      </c>
      <c r="D119" s="1">
        <v>1002029</v>
      </c>
      <c r="E119" s="1" t="s">
        <v>86</v>
      </c>
      <c r="F119" s="1"/>
      <c r="G119" s="2">
        <v>90425</v>
      </c>
      <c r="H119" s="1">
        <v>161.4</v>
      </c>
      <c r="I119" s="5">
        <v>167.54</v>
      </c>
      <c r="J119" s="1">
        <f t="shared" si="22"/>
        <v>6.1399999999999864</v>
      </c>
      <c r="K119" s="5">
        <f t="shared" si="23"/>
        <v>1708.3369230769192</v>
      </c>
    </row>
    <row r="120" spans="1:11" x14ac:dyDescent="0.25">
      <c r="A120" t="s">
        <v>271</v>
      </c>
      <c r="B120" s="1">
        <v>5000225304</v>
      </c>
      <c r="C120" s="1">
        <v>114</v>
      </c>
      <c r="D120" s="1">
        <v>1002029</v>
      </c>
      <c r="E120" s="1" t="s">
        <v>86</v>
      </c>
      <c r="F120" s="1"/>
      <c r="G120" s="2">
        <v>4800</v>
      </c>
      <c r="H120" s="1">
        <v>161.4</v>
      </c>
      <c r="I120" s="5">
        <v>167.54</v>
      </c>
      <c r="J120" s="1">
        <f t="shared" si="22"/>
        <v>6.1399999999999864</v>
      </c>
      <c r="K120" s="5">
        <f t="shared" si="23"/>
        <v>90.683076923076726</v>
      </c>
    </row>
    <row r="121" spans="1:11" x14ac:dyDescent="0.25">
      <c r="A121" t="s">
        <v>271</v>
      </c>
      <c r="B121" s="1">
        <v>5000225304</v>
      </c>
      <c r="C121" s="1">
        <v>114</v>
      </c>
      <c r="D121" s="1">
        <v>1002029</v>
      </c>
      <c r="E121" s="1" t="s">
        <v>86</v>
      </c>
      <c r="F121" s="1"/>
      <c r="G121" s="2">
        <v>7150</v>
      </c>
      <c r="H121" s="1">
        <v>161.4</v>
      </c>
      <c r="I121" s="5">
        <v>167.54</v>
      </c>
      <c r="J121" s="1">
        <f t="shared" si="22"/>
        <v>6.1399999999999864</v>
      </c>
      <c r="K121" s="5">
        <f t="shared" si="23"/>
        <v>135.0799999999997</v>
      </c>
    </row>
    <row r="122" spans="1:11" x14ac:dyDescent="0.25">
      <c r="A122" t="s">
        <v>273</v>
      </c>
      <c r="B122" s="1">
        <v>5000224520</v>
      </c>
      <c r="C122" s="1">
        <v>114</v>
      </c>
      <c r="D122" s="1">
        <v>1002029</v>
      </c>
      <c r="E122" s="1" t="s">
        <v>86</v>
      </c>
      <c r="F122" s="1"/>
      <c r="G122" s="2">
        <v>73125</v>
      </c>
      <c r="H122" s="1">
        <v>161.4</v>
      </c>
      <c r="I122" s="5">
        <v>167.54</v>
      </c>
      <c r="J122" s="1">
        <f t="shared" si="22"/>
        <v>6.1399999999999864</v>
      </c>
      <c r="K122" s="5">
        <f t="shared" si="23"/>
        <v>1381.499999999997</v>
      </c>
    </row>
    <row r="123" spans="1:11" x14ac:dyDescent="0.25">
      <c r="A123" t="s">
        <v>261</v>
      </c>
      <c r="B123" s="1">
        <v>5000230123</v>
      </c>
      <c r="C123" s="1">
        <v>114</v>
      </c>
      <c r="D123" s="1">
        <v>1002766</v>
      </c>
      <c r="E123" s="1" t="s">
        <v>274</v>
      </c>
      <c r="F123" s="1"/>
      <c r="G123" s="2">
        <v>13000</v>
      </c>
      <c r="H123" s="1">
        <v>132.5</v>
      </c>
      <c r="I123" s="5">
        <v>139.41999999999999</v>
      </c>
      <c r="J123" s="1">
        <f t="shared" si="22"/>
        <v>6.9199999999999875</v>
      </c>
      <c r="K123" s="5">
        <f t="shared" si="23"/>
        <v>276.7999999999995</v>
      </c>
    </row>
    <row r="124" spans="1:1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B126" s="1"/>
      <c r="C126" s="1"/>
      <c r="D126" s="1"/>
      <c r="E126" s="1"/>
      <c r="F126" s="1"/>
      <c r="G126" s="2">
        <f>SUM(G84:G125)</f>
        <v>1821365</v>
      </c>
      <c r="H126" s="1"/>
      <c r="I126" s="1"/>
      <c r="J126" s="5" t="s">
        <v>58</v>
      </c>
      <c r="K126" s="5">
        <f>SUM(K84:K123)</f>
        <v>30490.399999999936</v>
      </c>
    </row>
    <row r="127" spans="1:1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9" spans="1:14" x14ac:dyDescent="0.25">
      <c r="A129" s="5" t="s">
        <v>275</v>
      </c>
    </row>
    <row r="130" spans="1:14" ht="30" x14ac:dyDescent="0.25">
      <c r="B130" s="1" t="s">
        <v>172</v>
      </c>
      <c r="C130" s="1" t="s">
        <v>168</v>
      </c>
      <c r="D130" s="1" t="s">
        <v>167</v>
      </c>
      <c r="E130" s="1" t="s">
        <v>169</v>
      </c>
      <c r="F130" s="1"/>
      <c r="G130" s="1" t="s">
        <v>22</v>
      </c>
      <c r="H130" s="1" t="s">
        <v>276</v>
      </c>
      <c r="I130" s="1" t="s">
        <v>170</v>
      </c>
      <c r="J130" s="1" t="s">
        <v>52</v>
      </c>
      <c r="K130" s="1" t="s">
        <v>21</v>
      </c>
      <c r="L130" s="73" t="s">
        <v>277</v>
      </c>
      <c r="M130" s="34" t="s">
        <v>242</v>
      </c>
      <c r="N130" s="1"/>
    </row>
    <row r="131" spans="1:14" x14ac:dyDescent="0.25">
      <c r="B131" s="1">
        <v>5000230010</v>
      </c>
      <c r="C131" s="1">
        <v>114</v>
      </c>
      <c r="D131" s="1">
        <v>1000538</v>
      </c>
      <c r="E131" s="1" t="s">
        <v>88</v>
      </c>
      <c r="F131" s="1"/>
      <c r="G131" s="1">
        <v>101.12</v>
      </c>
      <c r="H131" s="1">
        <v>72.5</v>
      </c>
      <c r="I131" s="1">
        <v>75.05</v>
      </c>
      <c r="J131" s="1">
        <f>I131-H131</f>
        <v>2.5499999999999972</v>
      </c>
      <c r="K131" s="1">
        <f>J131*G131</f>
        <v>257.85599999999971</v>
      </c>
      <c r="L131" s="4">
        <v>73.569999999999993</v>
      </c>
      <c r="M131" s="1">
        <f>L131-H131</f>
        <v>1.0699999999999932</v>
      </c>
      <c r="N131" s="1">
        <f>M131*G131</f>
        <v>108.19839999999931</v>
      </c>
    </row>
    <row r="132" spans="1:14" x14ac:dyDescent="0.25">
      <c r="B132" s="1">
        <v>5000230010</v>
      </c>
      <c r="C132" s="1">
        <v>114</v>
      </c>
      <c r="D132" s="1">
        <v>1000538</v>
      </c>
      <c r="E132" s="1" t="s">
        <v>88</v>
      </c>
      <c r="F132" s="1"/>
      <c r="G132" s="3">
        <v>1011.5</v>
      </c>
      <c r="H132" s="1">
        <v>72.5</v>
      </c>
      <c r="I132" s="1">
        <v>75.05</v>
      </c>
      <c r="J132" s="1">
        <f t="shared" ref="J132:J152" si="24">I132-H132</f>
        <v>2.5499999999999972</v>
      </c>
      <c r="K132" s="1">
        <f t="shared" ref="K132:K152" si="25">J132*G132</f>
        <v>2579.3249999999971</v>
      </c>
      <c r="L132" s="4">
        <v>73.569999999999993</v>
      </c>
      <c r="M132" s="1">
        <f>L132-H132</f>
        <v>1.0699999999999932</v>
      </c>
      <c r="N132" s="1">
        <f>M132*G132</f>
        <v>1082.304999999993</v>
      </c>
    </row>
    <row r="133" spans="1:14" x14ac:dyDescent="0.25">
      <c r="B133" s="1">
        <v>5000226795</v>
      </c>
      <c r="C133" s="1">
        <v>114</v>
      </c>
      <c r="D133" s="1">
        <v>1000538</v>
      </c>
      <c r="E133" s="1" t="s">
        <v>88</v>
      </c>
      <c r="F133" s="1"/>
      <c r="G133" s="1">
        <v>378.5</v>
      </c>
      <c r="H133" s="1">
        <v>72.5</v>
      </c>
      <c r="I133" s="1">
        <v>75.05</v>
      </c>
      <c r="J133" s="1">
        <f t="shared" si="24"/>
        <v>2.5499999999999972</v>
      </c>
      <c r="K133" s="1">
        <f t="shared" si="25"/>
        <v>965.17499999999893</v>
      </c>
      <c r="L133" s="4">
        <v>73.569999999999993</v>
      </c>
      <c r="M133" s="1">
        <f t="shared" ref="M133:M152" si="26">L133-H133</f>
        <v>1.0699999999999932</v>
      </c>
      <c r="N133" s="1">
        <f t="shared" ref="N133:N152" si="27">M133*G133</f>
        <v>404.99499999999739</v>
      </c>
    </row>
    <row r="134" spans="1:14" x14ac:dyDescent="0.25">
      <c r="B134" s="1">
        <v>5000225847</v>
      </c>
      <c r="C134" s="1">
        <v>114</v>
      </c>
      <c r="D134" s="1">
        <v>1000538</v>
      </c>
      <c r="E134" s="1" t="s">
        <v>88</v>
      </c>
      <c r="F134" s="1"/>
      <c r="G134" s="1">
        <v>292.36</v>
      </c>
      <c r="H134" s="1">
        <v>72.5</v>
      </c>
      <c r="I134" s="1">
        <v>75.05</v>
      </c>
      <c r="J134" s="1">
        <f t="shared" si="24"/>
        <v>2.5499999999999972</v>
      </c>
      <c r="K134" s="1">
        <f t="shared" si="25"/>
        <v>745.51799999999923</v>
      </c>
      <c r="L134" s="4">
        <v>73.569999999999993</v>
      </c>
      <c r="M134" s="1">
        <f t="shared" si="26"/>
        <v>1.0699999999999932</v>
      </c>
      <c r="N134" s="1">
        <f t="shared" si="27"/>
        <v>312.82519999999801</v>
      </c>
    </row>
    <row r="135" spans="1:14" x14ac:dyDescent="0.25">
      <c r="B135" s="1">
        <v>5000225847</v>
      </c>
      <c r="C135" s="1">
        <v>114</v>
      </c>
      <c r="D135" s="1">
        <v>1000538</v>
      </c>
      <c r="E135" s="1" t="s">
        <v>88</v>
      </c>
      <c r="F135" s="1"/>
      <c r="G135" s="1">
        <v>517</v>
      </c>
      <c r="H135" s="1">
        <v>72.5</v>
      </c>
      <c r="I135" s="1">
        <v>75.05</v>
      </c>
      <c r="J135" s="1">
        <f t="shared" si="24"/>
        <v>2.5499999999999972</v>
      </c>
      <c r="K135" s="1">
        <f t="shared" si="25"/>
        <v>1318.3499999999985</v>
      </c>
      <c r="L135" s="4">
        <v>73.569999999999993</v>
      </c>
      <c r="M135" s="1">
        <f t="shared" si="26"/>
        <v>1.0699999999999932</v>
      </c>
      <c r="N135" s="1">
        <f t="shared" si="27"/>
        <v>553.18999999999642</v>
      </c>
    </row>
    <row r="136" spans="1:14" x14ac:dyDescent="0.25">
      <c r="B136" s="1">
        <v>5000225847</v>
      </c>
      <c r="C136" s="1">
        <v>114</v>
      </c>
      <c r="D136" s="1">
        <v>1000538</v>
      </c>
      <c r="E136" s="1" t="s">
        <v>88</v>
      </c>
      <c r="F136" s="1"/>
      <c r="G136" s="1">
        <v>208</v>
      </c>
      <c r="H136" s="1">
        <v>72.5</v>
      </c>
      <c r="I136" s="1">
        <v>75.05</v>
      </c>
      <c r="J136" s="1">
        <f t="shared" si="24"/>
        <v>2.5499999999999972</v>
      </c>
      <c r="K136" s="1">
        <f t="shared" si="25"/>
        <v>530.39999999999941</v>
      </c>
      <c r="L136" s="4">
        <v>73.569999999999993</v>
      </c>
      <c r="M136" s="1">
        <f t="shared" si="26"/>
        <v>1.0699999999999932</v>
      </c>
      <c r="N136" s="1">
        <f t="shared" si="27"/>
        <v>222.55999999999858</v>
      </c>
    </row>
    <row r="137" spans="1:14" x14ac:dyDescent="0.25">
      <c r="B137" s="1">
        <v>5000224427</v>
      </c>
      <c r="C137" s="1">
        <v>114</v>
      </c>
      <c r="D137" s="1">
        <v>1000538</v>
      </c>
      <c r="E137" s="1" t="s">
        <v>88</v>
      </c>
      <c r="F137" s="1"/>
      <c r="G137" s="1">
        <v>492.27</v>
      </c>
      <c r="H137" s="1">
        <v>72.5</v>
      </c>
      <c r="I137" s="1">
        <v>75.05</v>
      </c>
      <c r="J137" s="1">
        <f t="shared" si="24"/>
        <v>2.5499999999999972</v>
      </c>
      <c r="K137" s="1">
        <f t="shared" si="25"/>
        <v>1255.2884999999985</v>
      </c>
      <c r="L137" s="4">
        <v>73.569999999999993</v>
      </c>
      <c r="M137" s="1">
        <f t="shared" si="26"/>
        <v>1.0699999999999932</v>
      </c>
      <c r="N137" s="1">
        <f t="shared" si="27"/>
        <v>526.72889999999666</v>
      </c>
    </row>
    <row r="138" spans="1:14" x14ac:dyDescent="0.25">
      <c r="B138" s="1">
        <v>5000229741</v>
      </c>
      <c r="C138" s="1">
        <v>114</v>
      </c>
      <c r="D138" s="1">
        <v>1001263</v>
      </c>
      <c r="E138" s="1" t="s">
        <v>108</v>
      </c>
      <c r="F138" s="1"/>
      <c r="G138" s="1">
        <v>911.79</v>
      </c>
      <c r="H138" s="1">
        <v>72.5</v>
      </c>
      <c r="I138" s="1">
        <v>75.05</v>
      </c>
      <c r="J138" s="1">
        <f t="shared" si="24"/>
        <v>2.5499999999999972</v>
      </c>
      <c r="K138" s="1">
        <f t="shared" si="25"/>
        <v>2325.0644999999972</v>
      </c>
      <c r="L138" s="4">
        <v>73.569999999999993</v>
      </c>
      <c r="M138" s="1">
        <f t="shared" si="26"/>
        <v>1.0699999999999932</v>
      </c>
      <c r="N138" s="1">
        <f t="shared" si="27"/>
        <v>975.61529999999379</v>
      </c>
    </row>
    <row r="139" spans="1:14" x14ac:dyDescent="0.25">
      <c r="B139" s="1">
        <v>5000229741</v>
      </c>
      <c r="C139" s="1">
        <v>114</v>
      </c>
      <c r="D139" s="1">
        <v>1001263</v>
      </c>
      <c r="E139" s="1" t="s">
        <v>108</v>
      </c>
      <c r="F139" s="1"/>
      <c r="G139" s="1">
        <v>298.57</v>
      </c>
      <c r="H139" s="1">
        <v>72.5</v>
      </c>
      <c r="I139" s="1">
        <v>75.05</v>
      </c>
      <c r="J139" s="1">
        <f t="shared" si="24"/>
        <v>2.5499999999999972</v>
      </c>
      <c r="K139" s="1">
        <f t="shared" si="25"/>
        <v>761.35349999999914</v>
      </c>
      <c r="L139" s="4">
        <v>73.569999999999993</v>
      </c>
      <c r="M139" s="1">
        <f t="shared" si="26"/>
        <v>1.0699999999999932</v>
      </c>
      <c r="N139" s="1">
        <f t="shared" si="27"/>
        <v>319.46989999999795</v>
      </c>
    </row>
    <row r="140" spans="1:14" x14ac:dyDescent="0.25">
      <c r="B140" s="1">
        <v>5000225475</v>
      </c>
      <c r="C140" s="1">
        <v>114</v>
      </c>
      <c r="D140" s="1">
        <v>1001263</v>
      </c>
      <c r="E140" s="1" t="s">
        <v>108</v>
      </c>
      <c r="F140" s="1"/>
      <c r="G140" s="1">
        <v>342.3</v>
      </c>
      <c r="H140" s="1">
        <v>72.5</v>
      </c>
      <c r="I140" s="1">
        <v>75.05</v>
      </c>
      <c r="J140" s="1">
        <f t="shared" si="24"/>
        <v>2.5499999999999972</v>
      </c>
      <c r="K140" s="1">
        <f t="shared" si="25"/>
        <v>872.8649999999991</v>
      </c>
      <c r="L140" s="4">
        <v>73.569999999999993</v>
      </c>
      <c r="M140" s="1">
        <f t="shared" si="26"/>
        <v>1.0699999999999932</v>
      </c>
      <c r="N140" s="1">
        <f t="shared" si="27"/>
        <v>366.26099999999769</v>
      </c>
    </row>
    <row r="141" spans="1:14" x14ac:dyDescent="0.25">
      <c r="B141" s="1">
        <v>5000228950</v>
      </c>
      <c r="C141" s="1">
        <v>114</v>
      </c>
      <c r="D141" s="1">
        <v>1001401</v>
      </c>
      <c r="E141" s="1" t="s">
        <v>89</v>
      </c>
      <c r="F141" s="1"/>
      <c r="G141" s="3">
        <v>2336.7600000000002</v>
      </c>
      <c r="H141" s="1">
        <v>72.5</v>
      </c>
      <c r="I141" s="1">
        <v>75.05</v>
      </c>
      <c r="J141" s="1">
        <f t="shared" si="24"/>
        <v>2.5499999999999972</v>
      </c>
      <c r="K141" s="1">
        <f t="shared" si="25"/>
        <v>5958.7379999999939</v>
      </c>
      <c r="L141" s="4">
        <v>73.569999999999993</v>
      </c>
      <c r="M141" s="1">
        <f t="shared" si="26"/>
        <v>1.0699999999999932</v>
      </c>
      <c r="N141" s="1">
        <f t="shared" si="27"/>
        <v>2500.3331999999841</v>
      </c>
    </row>
    <row r="142" spans="1:14" x14ac:dyDescent="0.25">
      <c r="B142" s="1">
        <v>5000227795</v>
      </c>
      <c r="C142" s="1">
        <v>114</v>
      </c>
      <c r="D142" s="1">
        <v>1001401</v>
      </c>
      <c r="E142" s="1" t="s">
        <v>89</v>
      </c>
      <c r="F142" s="1"/>
      <c r="G142" s="3">
        <v>2017.19</v>
      </c>
      <c r="H142" s="1">
        <v>72.5</v>
      </c>
      <c r="I142" s="1">
        <v>75.05</v>
      </c>
      <c r="J142" s="1">
        <f t="shared" si="24"/>
        <v>2.5499999999999972</v>
      </c>
      <c r="K142" s="1">
        <f t="shared" si="25"/>
        <v>5143.8344999999945</v>
      </c>
      <c r="L142" s="4">
        <v>73.569999999999993</v>
      </c>
      <c r="M142" s="1">
        <f t="shared" si="26"/>
        <v>1.0699999999999932</v>
      </c>
      <c r="N142" s="1">
        <f t="shared" si="27"/>
        <v>2158.3932999999861</v>
      </c>
    </row>
    <row r="143" spans="1:14" x14ac:dyDescent="0.25">
      <c r="B143" s="1">
        <v>5000226863</v>
      </c>
      <c r="C143" s="1">
        <v>114</v>
      </c>
      <c r="D143" s="1">
        <v>1001401</v>
      </c>
      <c r="E143" s="1" t="s">
        <v>89</v>
      </c>
      <c r="F143" s="1"/>
      <c r="G143" s="3">
        <v>2049.1</v>
      </c>
      <c r="H143" s="1">
        <v>72.5</v>
      </c>
      <c r="I143" s="1">
        <v>75.05</v>
      </c>
      <c r="J143" s="1">
        <f t="shared" si="24"/>
        <v>2.5499999999999972</v>
      </c>
      <c r="K143" s="1">
        <f t="shared" si="25"/>
        <v>5225.2049999999936</v>
      </c>
      <c r="L143" s="4">
        <v>73.569999999999993</v>
      </c>
      <c r="M143" s="1">
        <f t="shared" si="26"/>
        <v>1.0699999999999932</v>
      </c>
      <c r="N143" s="1">
        <f t="shared" si="27"/>
        <v>2192.5369999999857</v>
      </c>
    </row>
    <row r="144" spans="1:14" x14ac:dyDescent="0.25">
      <c r="B144" s="1">
        <v>5000226401</v>
      </c>
      <c r="C144" s="1">
        <v>114</v>
      </c>
      <c r="D144" s="1">
        <v>1001401</v>
      </c>
      <c r="E144" s="1" t="s">
        <v>89</v>
      </c>
      <c r="F144" s="1"/>
      <c r="G144" s="3">
        <v>1490.9</v>
      </c>
      <c r="H144" s="1">
        <v>72.5</v>
      </c>
      <c r="I144" s="1">
        <v>75.05</v>
      </c>
      <c r="J144" s="1">
        <f t="shared" si="24"/>
        <v>2.5499999999999972</v>
      </c>
      <c r="K144" s="1">
        <f t="shared" si="25"/>
        <v>3801.794999999996</v>
      </c>
      <c r="L144" s="4">
        <v>73.569999999999993</v>
      </c>
      <c r="M144" s="1">
        <f t="shared" si="26"/>
        <v>1.0699999999999932</v>
      </c>
      <c r="N144" s="1">
        <f t="shared" si="27"/>
        <v>1595.2629999999899</v>
      </c>
    </row>
    <row r="145" spans="1:14" x14ac:dyDescent="0.25">
      <c r="B145" s="1">
        <v>5000225475</v>
      </c>
      <c r="C145" s="1">
        <v>114</v>
      </c>
      <c r="D145" s="1">
        <v>1001401</v>
      </c>
      <c r="E145" s="1" t="s">
        <v>89</v>
      </c>
      <c r="F145" s="1"/>
      <c r="G145" s="2">
        <v>1499</v>
      </c>
      <c r="H145" s="1">
        <v>72.5</v>
      </c>
      <c r="I145" s="1">
        <v>75.05</v>
      </c>
      <c r="J145" s="1">
        <f t="shared" si="24"/>
        <v>2.5499999999999972</v>
      </c>
      <c r="K145" s="1">
        <f t="shared" si="25"/>
        <v>3822.4499999999957</v>
      </c>
      <c r="L145" s="4">
        <v>73.569999999999993</v>
      </c>
      <c r="M145" s="1">
        <f t="shared" si="26"/>
        <v>1.0699999999999932</v>
      </c>
      <c r="N145" s="1">
        <f t="shared" si="27"/>
        <v>1603.9299999999898</v>
      </c>
    </row>
    <row r="146" spans="1:14" x14ac:dyDescent="0.25">
      <c r="B146" s="1">
        <v>5000224991</v>
      </c>
      <c r="C146" s="1">
        <v>114</v>
      </c>
      <c r="D146" s="1">
        <v>1001401</v>
      </c>
      <c r="E146" s="1" t="s">
        <v>89</v>
      </c>
      <c r="F146" s="1"/>
      <c r="G146" s="1">
        <v>476</v>
      </c>
      <c r="H146" s="1">
        <v>72.5</v>
      </c>
      <c r="I146" s="1">
        <v>75.05</v>
      </c>
      <c r="J146" s="1">
        <f t="shared" si="24"/>
        <v>2.5499999999999972</v>
      </c>
      <c r="K146" s="1">
        <f t="shared" si="25"/>
        <v>1213.7999999999986</v>
      </c>
      <c r="L146" s="4">
        <v>73.569999999999993</v>
      </c>
      <c r="M146" s="1">
        <f t="shared" si="26"/>
        <v>1.0699999999999932</v>
      </c>
      <c r="N146" s="1">
        <f t="shared" si="27"/>
        <v>509.31999999999675</v>
      </c>
    </row>
    <row r="147" spans="1:14" x14ac:dyDescent="0.25">
      <c r="B147" s="1">
        <v>5000224991</v>
      </c>
      <c r="C147" s="1">
        <v>114</v>
      </c>
      <c r="D147" s="1">
        <v>1001401</v>
      </c>
      <c r="E147" s="1" t="s">
        <v>89</v>
      </c>
      <c r="F147" s="1"/>
      <c r="G147" s="2">
        <v>1490</v>
      </c>
      <c r="H147" s="1">
        <v>72.5</v>
      </c>
      <c r="I147" s="1">
        <v>75.05</v>
      </c>
      <c r="J147" s="1">
        <f t="shared" si="24"/>
        <v>2.5499999999999972</v>
      </c>
      <c r="K147" s="1">
        <f t="shared" si="25"/>
        <v>3799.4999999999959</v>
      </c>
      <c r="L147" s="4">
        <v>73.569999999999993</v>
      </c>
      <c r="M147" s="1">
        <f t="shared" si="26"/>
        <v>1.0699999999999932</v>
      </c>
      <c r="N147" s="1">
        <f t="shared" si="27"/>
        <v>1594.2999999999897</v>
      </c>
    </row>
    <row r="148" spans="1:14" x14ac:dyDescent="0.25">
      <c r="B148" s="1">
        <v>5000226795</v>
      </c>
      <c r="C148" s="1">
        <v>114</v>
      </c>
      <c r="D148" s="1">
        <v>1001816</v>
      </c>
      <c r="E148" s="1" t="s">
        <v>158</v>
      </c>
      <c r="F148" s="1"/>
      <c r="G148" s="3">
        <v>1068.99</v>
      </c>
      <c r="H148" s="1">
        <v>72</v>
      </c>
      <c r="I148" s="1">
        <v>74.5</v>
      </c>
      <c r="J148" s="1">
        <f t="shared" si="24"/>
        <v>2.5</v>
      </c>
      <c r="K148" s="1">
        <f t="shared" si="25"/>
        <v>2672.4749999999999</v>
      </c>
      <c r="L148" s="4">
        <v>72.95</v>
      </c>
      <c r="M148" s="1">
        <f t="shared" si="26"/>
        <v>0.95000000000000284</v>
      </c>
      <c r="N148" s="1">
        <f t="shared" si="27"/>
        <v>1015.540500000003</v>
      </c>
    </row>
    <row r="149" spans="1:14" x14ac:dyDescent="0.25">
      <c r="B149" s="1">
        <v>5000226795</v>
      </c>
      <c r="C149" s="1">
        <v>114</v>
      </c>
      <c r="D149" s="1">
        <v>1001816</v>
      </c>
      <c r="E149" s="1" t="s">
        <v>158</v>
      </c>
      <c r="F149" s="1"/>
      <c r="G149" s="1">
        <v>694</v>
      </c>
      <c r="H149" s="1">
        <v>72</v>
      </c>
      <c r="I149" s="1">
        <v>74.5</v>
      </c>
      <c r="J149" s="1">
        <f t="shared" si="24"/>
        <v>2.5</v>
      </c>
      <c r="K149" s="1">
        <f t="shared" si="25"/>
        <v>1735</v>
      </c>
      <c r="L149" s="4">
        <v>72.95</v>
      </c>
      <c r="M149" s="1">
        <f t="shared" si="26"/>
        <v>0.95000000000000284</v>
      </c>
      <c r="N149" s="1">
        <f t="shared" si="27"/>
        <v>659.300000000002</v>
      </c>
    </row>
    <row r="150" spans="1:14" x14ac:dyDescent="0.25">
      <c r="B150" s="1">
        <v>5000225847</v>
      </c>
      <c r="C150" s="1">
        <v>114</v>
      </c>
      <c r="D150" s="1">
        <v>1001816</v>
      </c>
      <c r="E150" s="1" t="s">
        <v>158</v>
      </c>
      <c r="F150" s="1"/>
      <c r="G150" s="3">
        <v>1061.94</v>
      </c>
      <c r="H150" s="1">
        <v>72</v>
      </c>
      <c r="I150" s="1">
        <v>74.5</v>
      </c>
      <c r="J150" s="1">
        <f t="shared" si="24"/>
        <v>2.5</v>
      </c>
      <c r="K150" s="1">
        <f t="shared" si="25"/>
        <v>2654.8500000000004</v>
      </c>
      <c r="L150" s="4">
        <v>72.95</v>
      </c>
      <c r="M150" s="1">
        <f t="shared" si="26"/>
        <v>0.95000000000000284</v>
      </c>
      <c r="N150" s="1">
        <f t="shared" si="27"/>
        <v>1008.843000000003</v>
      </c>
    </row>
    <row r="151" spans="1:14" x14ac:dyDescent="0.25">
      <c r="B151" s="1">
        <v>5000229256</v>
      </c>
      <c r="C151" s="1">
        <v>114</v>
      </c>
      <c r="D151" s="1">
        <v>1001934</v>
      </c>
      <c r="E151" s="1" t="s">
        <v>91</v>
      </c>
      <c r="F151" s="1"/>
      <c r="G151" s="3">
        <v>1768.76</v>
      </c>
      <c r="H151" s="1">
        <v>72</v>
      </c>
      <c r="I151" s="1">
        <v>74.5</v>
      </c>
      <c r="J151" s="1">
        <f t="shared" si="24"/>
        <v>2.5</v>
      </c>
      <c r="K151" s="1">
        <f t="shared" si="25"/>
        <v>4421.8999999999996</v>
      </c>
      <c r="L151" s="4">
        <v>72.95</v>
      </c>
      <c r="M151" s="1">
        <f t="shared" si="26"/>
        <v>0.95000000000000284</v>
      </c>
      <c r="N151" s="1">
        <f t="shared" si="27"/>
        <v>1680.3220000000051</v>
      </c>
    </row>
    <row r="152" spans="1:14" x14ac:dyDescent="0.25">
      <c r="B152" s="1">
        <v>5000229256</v>
      </c>
      <c r="C152" s="1">
        <v>114</v>
      </c>
      <c r="D152" s="1">
        <v>1001934</v>
      </c>
      <c r="E152" s="1" t="s">
        <v>91</v>
      </c>
      <c r="F152" s="1"/>
      <c r="G152" s="1">
        <v>524.54999999999995</v>
      </c>
      <c r="H152" s="1">
        <v>72</v>
      </c>
      <c r="I152" s="1">
        <v>74.5</v>
      </c>
      <c r="J152" s="1">
        <f t="shared" si="24"/>
        <v>2.5</v>
      </c>
      <c r="K152" s="1">
        <f t="shared" si="25"/>
        <v>1311.375</v>
      </c>
      <c r="L152" s="4">
        <v>72.95</v>
      </c>
      <c r="M152" s="1">
        <f t="shared" si="26"/>
        <v>0.95000000000000284</v>
      </c>
      <c r="N152" s="1">
        <f t="shared" si="27"/>
        <v>498.32250000000147</v>
      </c>
    </row>
    <row r="153" spans="1:14" x14ac:dyDescent="0.25">
      <c r="B153" s="36"/>
      <c r="C153" s="36"/>
      <c r="D153" s="36"/>
      <c r="E153" s="36"/>
      <c r="F153" s="36"/>
      <c r="G153" s="36"/>
      <c r="H153" s="36"/>
      <c r="I153" s="1"/>
      <c r="J153" s="1"/>
      <c r="K153" s="1"/>
    </row>
    <row r="154" spans="1:14" x14ac:dyDescent="0.25">
      <c r="B154" s="8"/>
      <c r="C154" s="8"/>
      <c r="D154" s="8"/>
      <c r="E154" s="8"/>
      <c r="F154" s="8"/>
      <c r="G154" s="8">
        <f>SUM(G131:G153)</f>
        <v>21030.6</v>
      </c>
      <c r="H154" s="8"/>
      <c r="I154" s="5" t="s">
        <v>58</v>
      </c>
      <c r="J154" s="1"/>
      <c r="K154" s="1">
        <f>SUM(K131:K152)</f>
        <v>53372.117999999951</v>
      </c>
      <c r="N154" s="1">
        <f>SUM(N131:N152)</f>
        <v>21888.553199999908</v>
      </c>
    </row>
    <row r="155" spans="1:14" x14ac:dyDescent="0.25">
      <c r="B155" s="8"/>
      <c r="C155" s="8"/>
      <c r="D155" s="8"/>
      <c r="E155" s="8"/>
      <c r="F155" s="8"/>
      <c r="G155" s="8"/>
      <c r="H155" s="8"/>
      <c r="I155" s="74"/>
      <c r="J155" s="36"/>
      <c r="K155" s="36"/>
    </row>
    <row r="156" spans="1:14" x14ac:dyDescent="0.25">
      <c r="B156" s="8"/>
      <c r="C156" s="8"/>
      <c r="D156" s="8"/>
      <c r="E156" s="8"/>
      <c r="F156" s="8"/>
      <c r="G156" s="8"/>
      <c r="H156" s="26" t="s">
        <v>278</v>
      </c>
      <c r="I156" s="8"/>
      <c r="J156" s="8"/>
      <c r="K156" s="26">
        <f>K154+N154</f>
        <v>75260.671199999866</v>
      </c>
    </row>
    <row r="157" spans="1:14" x14ac:dyDescent="0.25"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4" x14ac:dyDescent="0.25"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60" spans="1:14" x14ac:dyDescent="0.25">
      <c r="A160" s="36" t="s">
        <v>154</v>
      </c>
    </row>
    <row r="161" spans="1:11" ht="30" x14ac:dyDescent="0.25">
      <c r="A161" s="1"/>
      <c r="B161" s="1" t="s">
        <v>172</v>
      </c>
      <c r="C161" s="1" t="s">
        <v>168</v>
      </c>
      <c r="D161" s="1" t="s">
        <v>167</v>
      </c>
      <c r="E161" s="1" t="s">
        <v>169</v>
      </c>
      <c r="F161" s="1"/>
      <c r="G161" s="1" t="s">
        <v>22</v>
      </c>
      <c r="H161" s="1" t="s">
        <v>50</v>
      </c>
      <c r="I161" s="25" t="s">
        <v>216</v>
      </c>
      <c r="J161" s="4" t="s">
        <v>52</v>
      </c>
      <c r="K161" s="4" t="s">
        <v>21</v>
      </c>
    </row>
    <row r="162" spans="1:11" x14ac:dyDescent="0.25">
      <c r="A162" s="1"/>
      <c r="B162" s="1">
        <v>5000227954</v>
      </c>
      <c r="C162" s="1">
        <v>114</v>
      </c>
      <c r="D162" s="1">
        <v>1001181</v>
      </c>
      <c r="E162" s="1" t="s">
        <v>157</v>
      </c>
      <c r="F162" s="1"/>
      <c r="G162" s="3">
        <v>1124.5999999999999</v>
      </c>
      <c r="H162" s="1">
        <v>74.75</v>
      </c>
      <c r="I162" s="25">
        <v>76.2</v>
      </c>
      <c r="J162" s="3">
        <f>I162-H162</f>
        <v>1.4500000000000028</v>
      </c>
      <c r="K162" s="4">
        <f>J162*G162</f>
        <v>1630.670000000003</v>
      </c>
    </row>
    <row r="163" spans="1:11" x14ac:dyDescent="0.25">
      <c r="A163" s="1"/>
      <c r="B163" s="1">
        <v>5000227953</v>
      </c>
      <c r="C163" s="1">
        <v>114</v>
      </c>
      <c r="D163" s="1">
        <v>1001263</v>
      </c>
      <c r="E163" s="1" t="s">
        <v>108</v>
      </c>
      <c r="F163" s="1"/>
      <c r="G163" s="3">
        <v>1652.5</v>
      </c>
      <c r="H163" s="1">
        <v>73.900000000000006</v>
      </c>
      <c r="I163" s="25">
        <v>75.05</v>
      </c>
      <c r="J163" s="3">
        <f>I163-H163</f>
        <v>1.1499999999999915</v>
      </c>
      <c r="K163" s="4">
        <f>J163*G163</f>
        <v>1900.3749999999859</v>
      </c>
    </row>
    <row r="164" spans="1:11" x14ac:dyDescent="0.25">
      <c r="A164" s="1"/>
      <c r="B164" s="1">
        <v>5000225645</v>
      </c>
      <c r="C164" s="1">
        <v>114</v>
      </c>
      <c r="D164" s="1">
        <v>1001263</v>
      </c>
      <c r="E164" s="1" t="s">
        <v>108</v>
      </c>
      <c r="F164" s="1"/>
      <c r="G164" s="1">
        <v>704.2</v>
      </c>
      <c r="H164" s="1">
        <v>73.900000000000006</v>
      </c>
      <c r="I164" s="25">
        <v>75.05</v>
      </c>
      <c r="J164" s="3">
        <f>I164-H164</f>
        <v>1.1499999999999915</v>
      </c>
      <c r="K164" s="4">
        <f>J164*G164</f>
        <v>809.82999999999402</v>
      </c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25"/>
      <c r="J165" s="4"/>
      <c r="K165" s="4"/>
    </row>
    <row r="166" spans="1:11" x14ac:dyDescent="0.25">
      <c r="A166" s="1"/>
      <c r="B166" s="1"/>
      <c r="C166" s="1"/>
      <c r="D166" s="1"/>
      <c r="E166" s="1"/>
      <c r="F166" s="1"/>
      <c r="G166" s="3">
        <f>SUM(G162:G165)</f>
        <v>3481.3</v>
      </c>
      <c r="H166" s="1"/>
      <c r="I166" s="25"/>
      <c r="J166" s="4"/>
      <c r="K166" s="34">
        <f>SUM(K162:K164)</f>
        <v>4340.8749999999836</v>
      </c>
    </row>
    <row r="170" spans="1:11" x14ac:dyDescent="0.25">
      <c r="A170" t="s">
        <v>147</v>
      </c>
    </row>
    <row r="171" spans="1:11" x14ac:dyDescent="0.25">
      <c r="B171" s="1" t="s">
        <v>172</v>
      </c>
      <c r="C171" s="1" t="s">
        <v>168</v>
      </c>
      <c r="D171" s="1" t="s">
        <v>167</v>
      </c>
      <c r="E171" s="1" t="s">
        <v>169</v>
      </c>
      <c r="F171" s="1"/>
      <c r="G171" s="1" t="s">
        <v>22</v>
      </c>
      <c r="H171" s="1" t="s">
        <v>50</v>
      </c>
      <c r="I171" s="1" t="s">
        <v>192</v>
      </c>
      <c r="J171" s="1" t="s">
        <v>52</v>
      </c>
      <c r="K171" s="1" t="s">
        <v>21</v>
      </c>
    </row>
    <row r="172" spans="1:11" x14ac:dyDescent="0.25">
      <c r="B172" s="1">
        <v>5000225646</v>
      </c>
      <c r="C172" s="1">
        <v>114</v>
      </c>
      <c r="D172" s="1">
        <v>1001773</v>
      </c>
      <c r="E172" s="1" t="s">
        <v>136</v>
      </c>
      <c r="F172" s="1"/>
      <c r="G172" s="2">
        <v>1290</v>
      </c>
      <c r="H172" s="1">
        <v>16.25</v>
      </c>
      <c r="I172" s="1">
        <v>17.55</v>
      </c>
      <c r="J172" s="1">
        <f>I172-H172</f>
        <v>1.3000000000000007</v>
      </c>
      <c r="K172" s="1">
        <f>J172*G172</f>
        <v>1677.0000000000009</v>
      </c>
    </row>
    <row r="173" spans="1:11" x14ac:dyDescent="0.25">
      <c r="B173" s="1">
        <v>5000224989</v>
      </c>
      <c r="C173" s="1">
        <v>114</v>
      </c>
      <c r="D173" s="1">
        <v>1001773</v>
      </c>
      <c r="E173" s="1" t="s">
        <v>136</v>
      </c>
      <c r="F173" s="1"/>
      <c r="G173" s="2">
        <v>4500</v>
      </c>
      <c r="H173" s="1">
        <v>16.25</v>
      </c>
      <c r="I173" s="1">
        <v>17.55</v>
      </c>
      <c r="J173" s="1">
        <f>I173-H173</f>
        <v>1.3000000000000007</v>
      </c>
      <c r="K173" s="1">
        <f>J173*G173</f>
        <v>5850.0000000000036</v>
      </c>
    </row>
    <row r="174" spans="1:1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B175" s="1"/>
      <c r="C175" s="1"/>
      <c r="D175" s="1"/>
      <c r="E175" s="1"/>
      <c r="F175" s="1"/>
      <c r="G175" s="2">
        <f>SUM(G172:G174)</f>
        <v>5790</v>
      </c>
      <c r="H175" s="1"/>
      <c r="I175" s="1"/>
      <c r="J175" s="1"/>
      <c r="K175" s="5">
        <f>SUM(K172:K173)</f>
        <v>7527.0000000000045</v>
      </c>
    </row>
    <row r="176" spans="1:11" x14ac:dyDescent="0.25"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spans="1:11" x14ac:dyDescent="0.25">
      <c r="A177" s="6" t="s">
        <v>207</v>
      </c>
    </row>
    <row r="178" spans="1:11" x14ac:dyDescent="0.25">
      <c r="B178" s="1" t="s">
        <v>208</v>
      </c>
      <c r="C178" s="1" t="s">
        <v>168</v>
      </c>
      <c r="D178" s="1" t="s">
        <v>167</v>
      </c>
      <c r="E178" s="1" t="s">
        <v>169</v>
      </c>
      <c r="F178" s="1"/>
      <c r="G178" s="1" t="s">
        <v>22</v>
      </c>
      <c r="H178" s="1" t="s">
        <v>209</v>
      </c>
      <c r="I178" s="1" t="s">
        <v>210</v>
      </c>
      <c r="J178" s="1" t="s">
        <v>52</v>
      </c>
      <c r="K178" s="1" t="s">
        <v>21</v>
      </c>
    </row>
    <row r="179" spans="1:11" x14ac:dyDescent="0.25">
      <c r="B179" s="1">
        <v>5000228096</v>
      </c>
      <c r="C179" s="1">
        <v>114</v>
      </c>
      <c r="D179" s="1">
        <v>1001642</v>
      </c>
      <c r="E179" s="1" t="s">
        <v>211</v>
      </c>
      <c r="F179" s="1"/>
      <c r="G179" s="1">
        <v>500</v>
      </c>
      <c r="H179" s="1">
        <v>131.19999999999999</v>
      </c>
      <c r="I179" s="1">
        <v>137</v>
      </c>
      <c r="J179" s="1">
        <f>I179-H179</f>
        <v>5.8000000000000114</v>
      </c>
      <c r="K179" s="1">
        <f>G179*J179</f>
        <v>2900.0000000000055</v>
      </c>
    </row>
    <row r="180" spans="1:11" x14ac:dyDescent="0.25">
      <c r="B180" s="1">
        <v>5000228095</v>
      </c>
      <c r="C180" s="1">
        <v>114</v>
      </c>
      <c r="D180" s="1">
        <v>1002348</v>
      </c>
      <c r="E180" s="1" t="s">
        <v>212</v>
      </c>
      <c r="F180" s="1"/>
      <c r="G180" s="1">
        <v>493</v>
      </c>
      <c r="H180" s="1">
        <v>142.69999999999999</v>
      </c>
      <c r="I180" s="1">
        <v>150</v>
      </c>
      <c r="J180" s="1">
        <f>I180-H180</f>
        <v>7.3000000000000114</v>
      </c>
      <c r="K180" s="1">
        <f>G180*J180</f>
        <v>3598.9000000000055</v>
      </c>
    </row>
    <row r="181" spans="1:1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B183" s="1"/>
      <c r="C183" s="1"/>
      <c r="D183" s="1"/>
      <c r="E183" s="1"/>
      <c r="F183" s="1"/>
      <c r="G183" s="5">
        <f>SUM(G179:G182)</f>
        <v>993</v>
      </c>
      <c r="H183" s="1"/>
      <c r="I183" s="1"/>
      <c r="J183" s="5" t="s">
        <v>213</v>
      </c>
      <c r="K183" s="5">
        <f>SUM(K179:K180)</f>
        <v>6498.9000000000106</v>
      </c>
    </row>
    <row r="186" spans="1:11" x14ac:dyDescent="0.25">
      <c r="B186" s="1" t="s">
        <v>208</v>
      </c>
      <c r="C186" s="1" t="s">
        <v>168</v>
      </c>
      <c r="D186" s="1" t="s">
        <v>167</v>
      </c>
      <c r="E186" s="1" t="s">
        <v>169</v>
      </c>
      <c r="F186" s="1"/>
      <c r="G186" s="1" t="s">
        <v>22</v>
      </c>
      <c r="H186" s="1" t="s">
        <v>209</v>
      </c>
      <c r="I186" s="1" t="s">
        <v>210</v>
      </c>
      <c r="J186" s="1" t="s">
        <v>52</v>
      </c>
      <c r="K186" s="1" t="s">
        <v>21</v>
      </c>
    </row>
    <row r="187" spans="1:11" x14ac:dyDescent="0.25">
      <c r="B187" s="1">
        <v>5000230369</v>
      </c>
      <c r="C187" s="1">
        <v>112</v>
      </c>
      <c r="D187" s="1">
        <v>1001439</v>
      </c>
      <c r="E187" s="1" t="s">
        <v>281</v>
      </c>
      <c r="F187" s="1"/>
      <c r="G187" s="2">
        <v>20000</v>
      </c>
      <c r="H187" s="1">
        <v>8515</v>
      </c>
      <c r="I187" s="1">
        <v>9076</v>
      </c>
      <c r="J187" s="2">
        <f>I187-H187</f>
        <v>561</v>
      </c>
      <c r="K187" s="5">
        <f>J187/1000*G187</f>
        <v>11220.000000000002</v>
      </c>
    </row>
    <row r="188" spans="1:11" x14ac:dyDescent="0.25">
      <c r="B188" s="1">
        <v>5000230369</v>
      </c>
      <c r="C188" s="1">
        <v>112</v>
      </c>
      <c r="D188" s="1">
        <v>1001439</v>
      </c>
      <c r="E188" s="1" t="s">
        <v>281</v>
      </c>
      <c r="F188" s="1"/>
      <c r="G188" s="1">
        <v>898</v>
      </c>
      <c r="H188" s="1">
        <v>8515</v>
      </c>
      <c r="I188" s="1">
        <v>9076</v>
      </c>
      <c r="J188" s="2">
        <f>I188-H188</f>
        <v>561</v>
      </c>
      <c r="K188" s="5">
        <f>J188/1000*G188</f>
        <v>503.77800000000008</v>
      </c>
    </row>
    <row r="189" spans="1:11" x14ac:dyDescent="0.25">
      <c r="B189" s="1">
        <v>5000230381</v>
      </c>
      <c r="C189" s="1">
        <v>112</v>
      </c>
      <c r="D189" s="1">
        <v>1001439</v>
      </c>
      <c r="E189" s="1" t="s">
        <v>281</v>
      </c>
      <c r="F189" s="1"/>
      <c r="G189" s="2">
        <v>16362</v>
      </c>
      <c r="H189" s="1">
        <v>8515</v>
      </c>
      <c r="I189" s="1">
        <v>9076</v>
      </c>
      <c r="J189" s="2">
        <f>I189-H189</f>
        <v>561</v>
      </c>
      <c r="K189" s="5">
        <f>J189/1000*G189</f>
        <v>9179.0820000000003</v>
      </c>
    </row>
    <row r="190" spans="1:11" x14ac:dyDescent="0.25">
      <c r="B190" s="1"/>
      <c r="C190" s="1"/>
      <c r="D190" s="1"/>
      <c r="E190" s="1"/>
      <c r="F190" s="1"/>
      <c r="G190" s="2">
        <f>SUM(G187:G189)</f>
        <v>37260</v>
      </c>
      <c r="H190" s="1"/>
      <c r="I190" s="1"/>
      <c r="J190" s="1"/>
      <c r="K190" s="1"/>
    </row>
    <row r="191" spans="1:11" x14ac:dyDescent="0.25">
      <c r="B191" s="1"/>
      <c r="C191" s="1"/>
      <c r="D191" s="1"/>
      <c r="E191" s="1"/>
      <c r="F191" s="1"/>
      <c r="G191" s="1"/>
      <c r="H191" s="1"/>
      <c r="I191" s="1"/>
      <c r="J191" s="5" t="s">
        <v>213</v>
      </c>
      <c r="K191" s="5">
        <f>SUM(K187:K189)</f>
        <v>20902.86</v>
      </c>
    </row>
    <row r="194" spans="1:11" x14ac:dyDescent="0.25">
      <c r="A194" s="6" t="s">
        <v>286</v>
      </c>
    </row>
    <row r="195" spans="1:11" x14ac:dyDescent="0.25">
      <c r="B195" s="1" t="s">
        <v>208</v>
      </c>
      <c r="C195" s="1" t="s">
        <v>168</v>
      </c>
      <c r="D195" s="1" t="s">
        <v>167</v>
      </c>
      <c r="E195" s="1" t="s">
        <v>169</v>
      </c>
      <c r="F195" s="1"/>
      <c r="G195" s="1" t="s">
        <v>22</v>
      </c>
      <c r="H195" s="1" t="s">
        <v>209</v>
      </c>
      <c r="I195" s="1" t="s">
        <v>210</v>
      </c>
      <c r="J195" s="1" t="s">
        <v>52</v>
      </c>
      <c r="K195" s="1" t="s">
        <v>21</v>
      </c>
    </row>
    <row r="196" spans="1:11" x14ac:dyDescent="0.25">
      <c r="B196" s="1">
        <v>5000227589</v>
      </c>
      <c r="C196" s="1">
        <v>114</v>
      </c>
      <c r="D196" s="1">
        <v>1002620</v>
      </c>
      <c r="E196" s="1" t="s">
        <v>282</v>
      </c>
      <c r="F196" s="1"/>
      <c r="G196" s="2">
        <v>22260</v>
      </c>
      <c r="H196" s="1">
        <v>0.18</v>
      </c>
      <c r="I196" s="1">
        <v>0.52</v>
      </c>
      <c r="J196" s="3">
        <f>I196-H196</f>
        <v>0.34</v>
      </c>
      <c r="K196" s="1">
        <f>J196*G196</f>
        <v>7568.4000000000005</v>
      </c>
    </row>
    <row r="197" spans="1:11" x14ac:dyDescent="0.25">
      <c r="B197" s="1">
        <v>5000227589</v>
      </c>
      <c r="C197" s="1">
        <v>114</v>
      </c>
      <c r="D197" s="1">
        <v>1002620</v>
      </c>
      <c r="E197" s="1" t="s">
        <v>282</v>
      </c>
      <c r="F197" s="1"/>
      <c r="G197" s="2">
        <v>60640</v>
      </c>
      <c r="H197" s="1">
        <v>0.18</v>
      </c>
      <c r="I197" s="1">
        <v>0.52</v>
      </c>
      <c r="J197" s="3">
        <f>I197-H197</f>
        <v>0.34</v>
      </c>
      <c r="K197" s="1">
        <f>J197*G197</f>
        <v>20617.600000000002</v>
      </c>
    </row>
    <row r="198" spans="1:11" x14ac:dyDescent="0.25">
      <c r="B198" s="1">
        <v>5000227589</v>
      </c>
      <c r="C198" s="1">
        <v>114</v>
      </c>
      <c r="D198" s="1">
        <v>1002620</v>
      </c>
      <c r="E198" s="1" t="s">
        <v>282</v>
      </c>
      <c r="F198" s="1"/>
      <c r="G198" s="2">
        <v>125000</v>
      </c>
      <c r="H198" s="1">
        <v>0.18</v>
      </c>
      <c r="I198" s="1">
        <v>0.52</v>
      </c>
      <c r="J198" s="3">
        <f>I198-H198</f>
        <v>0.34</v>
      </c>
      <c r="K198" s="1">
        <f>J198*G198</f>
        <v>42500</v>
      </c>
    </row>
    <row r="199" spans="1:1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B200" s="1"/>
      <c r="C200" s="1"/>
      <c r="D200" s="1"/>
      <c r="E200" s="1"/>
      <c r="F200" s="1"/>
      <c r="G200" s="2">
        <f>SUM(G196:G199)</f>
        <v>207900</v>
      </c>
      <c r="H200" s="1"/>
      <c r="I200" s="1"/>
      <c r="J200" s="1"/>
      <c r="K200" s="1"/>
    </row>
    <row r="201" spans="1:11" x14ac:dyDescent="0.25">
      <c r="B201" s="1"/>
      <c r="C201" s="1"/>
      <c r="D201" s="1"/>
      <c r="E201" s="1"/>
      <c r="F201" s="1"/>
      <c r="G201" s="1"/>
      <c r="H201" s="1"/>
      <c r="I201" s="1"/>
      <c r="J201" s="5" t="s">
        <v>213</v>
      </c>
      <c r="K201" s="5">
        <f>SUM(K196:K198)</f>
        <v>70686</v>
      </c>
    </row>
    <row r="203" spans="1:11" x14ac:dyDescent="0.25">
      <c r="A203" s="6" t="s">
        <v>287</v>
      </c>
    </row>
    <row r="204" spans="1:11" x14ac:dyDescent="0.25">
      <c r="B204" s="1" t="s">
        <v>208</v>
      </c>
      <c r="C204" s="1" t="s">
        <v>168</v>
      </c>
      <c r="D204" s="1" t="s">
        <v>167</v>
      </c>
      <c r="E204" s="1" t="s">
        <v>169</v>
      </c>
      <c r="F204" s="1"/>
      <c r="G204" s="1" t="s">
        <v>22</v>
      </c>
      <c r="H204" s="1" t="s">
        <v>209</v>
      </c>
      <c r="I204" s="1" t="s">
        <v>210</v>
      </c>
      <c r="J204" s="1" t="s">
        <v>52</v>
      </c>
      <c r="K204" s="1" t="s">
        <v>21</v>
      </c>
    </row>
    <row r="205" spans="1:11" x14ac:dyDescent="0.25">
      <c r="B205" s="1">
        <v>5000230016</v>
      </c>
      <c r="C205" s="1">
        <v>114</v>
      </c>
      <c r="D205" s="1">
        <v>1002615</v>
      </c>
      <c r="E205" s="1" t="s">
        <v>284</v>
      </c>
      <c r="F205" s="1"/>
      <c r="G205" s="2">
        <v>24750</v>
      </c>
      <c r="H205" s="1">
        <v>4.0999999999999996</v>
      </c>
      <c r="I205" s="1">
        <v>5.15</v>
      </c>
      <c r="J205" s="1">
        <f t="shared" ref="J205:J210" si="28">I205-H205</f>
        <v>1.0500000000000007</v>
      </c>
      <c r="K205" s="2">
        <f t="shared" ref="K205:K210" si="29">J205*G205</f>
        <v>25987.500000000018</v>
      </c>
    </row>
    <row r="206" spans="1:11" x14ac:dyDescent="0.25">
      <c r="B206" s="1">
        <v>5000224416</v>
      </c>
      <c r="C206" s="1">
        <v>114</v>
      </c>
      <c r="D206" s="1">
        <v>1002615</v>
      </c>
      <c r="E206" s="1" t="s">
        <v>284</v>
      </c>
      <c r="F206" s="1"/>
      <c r="G206" s="2">
        <v>12325</v>
      </c>
      <c r="H206" s="1">
        <v>4.0999999999999996</v>
      </c>
      <c r="I206" s="1">
        <v>5.15</v>
      </c>
      <c r="J206" s="1">
        <f t="shared" si="28"/>
        <v>1.0500000000000007</v>
      </c>
      <c r="K206" s="2">
        <f t="shared" si="29"/>
        <v>12941.250000000009</v>
      </c>
    </row>
    <row r="207" spans="1:11" x14ac:dyDescent="0.25">
      <c r="B207" s="1">
        <v>5000224416</v>
      </c>
      <c r="C207" s="1">
        <v>114</v>
      </c>
      <c r="D207" s="1">
        <v>1002615</v>
      </c>
      <c r="E207" s="1" t="s">
        <v>284</v>
      </c>
      <c r="F207" s="1"/>
      <c r="G207" s="2">
        <v>1325</v>
      </c>
      <c r="H207" s="1">
        <v>4.0999999999999996</v>
      </c>
      <c r="I207" s="1">
        <v>5.15</v>
      </c>
      <c r="J207" s="1">
        <f t="shared" si="28"/>
        <v>1.0500000000000007</v>
      </c>
      <c r="K207" s="2">
        <f t="shared" si="29"/>
        <v>1391.2500000000009</v>
      </c>
    </row>
    <row r="208" spans="1:11" x14ac:dyDescent="0.25">
      <c r="B208" s="1">
        <v>5000224416</v>
      </c>
      <c r="C208" s="1">
        <v>114</v>
      </c>
      <c r="D208" s="1">
        <v>1002615</v>
      </c>
      <c r="E208" s="1" t="s">
        <v>284</v>
      </c>
      <c r="F208" s="1"/>
      <c r="G208" s="2">
        <v>18600</v>
      </c>
      <c r="H208" s="1">
        <v>4.0999999999999996</v>
      </c>
      <c r="I208" s="1">
        <v>5.15</v>
      </c>
      <c r="J208" s="1">
        <f t="shared" si="28"/>
        <v>1.0500000000000007</v>
      </c>
      <c r="K208" s="2">
        <f t="shared" si="29"/>
        <v>19530.000000000015</v>
      </c>
    </row>
    <row r="209" spans="1:11" x14ac:dyDescent="0.25">
      <c r="B209" s="1">
        <v>5000230122</v>
      </c>
      <c r="C209" s="1">
        <v>114</v>
      </c>
      <c r="D209" s="1">
        <v>1002617</v>
      </c>
      <c r="E209" s="1" t="s">
        <v>285</v>
      </c>
      <c r="F209" s="1"/>
      <c r="G209" s="2">
        <v>17010</v>
      </c>
      <c r="H209" s="1">
        <v>4.0999999999999996</v>
      </c>
      <c r="I209" s="1">
        <v>5.15</v>
      </c>
      <c r="J209" s="1">
        <f t="shared" si="28"/>
        <v>1.0500000000000007</v>
      </c>
      <c r="K209" s="2">
        <f t="shared" si="29"/>
        <v>17860.500000000011</v>
      </c>
    </row>
    <row r="210" spans="1:11" x14ac:dyDescent="0.25">
      <c r="B210" s="1">
        <v>5000230122</v>
      </c>
      <c r="C210" s="1">
        <v>114</v>
      </c>
      <c r="D210" s="1">
        <v>1002617</v>
      </c>
      <c r="E210" s="1" t="s">
        <v>285</v>
      </c>
      <c r="F210" s="1"/>
      <c r="G210" s="1">
        <v>358</v>
      </c>
      <c r="H210" s="1">
        <v>4.0999999999999996</v>
      </c>
      <c r="I210" s="1">
        <v>5.15</v>
      </c>
      <c r="J210" s="1">
        <f t="shared" si="28"/>
        <v>1.0500000000000007</v>
      </c>
      <c r="K210" s="2">
        <f t="shared" si="29"/>
        <v>375.90000000000026</v>
      </c>
    </row>
    <row r="211" spans="1:1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B212" s="1"/>
      <c r="C212" s="1"/>
      <c r="D212" s="1"/>
      <c r="E212" s="1"/>
      <c r="F212" s="1"/>
      <c r="G212" s="2">
        <f>SUM(G205:G211)</f>
        <v>74368</v>
      </c>
      <c r="H212" s="1"/>
      <c r="I212" s="1"/>
      <c r="J212" s="5" t="s">
        <v>58</v>
      </c>
      <c r="K212" s="33">
        <f>SUM(K205:K210)</f>
        <v>78086.400000000052</v>
      </c>
    </row>
    <row r="214" spans="1:11" x14ac:dyDescent="0.25">
      <c r="A214" s="6" t="s">
        <v>288</v>
      </c>
    </row>
    <row r="216" spans="1:11" ht="45" x14ac:dyDescent="0.25">
      <c r="B216" s="1" t="s">
        <v>208</v>
      </c>
      <c r="C216" s="1" t="s">
        <v>168</v>
      </c>
      <c r="D216" s="1" t="s">
        <v>167</v>
      </c>
      <c r="E216" s="1" t="s">
        <v>169</v>
      </c>
      <c r="F216" s="17" t="s">
        <v>289</v>
      </c>
      <c r="G216" s="17" t="s">
        <v>290</v>
      </c>
      <c r="H216" s="1" t="s">
        <v>291</v>
      </c>
      <c r="I216" s="1"/>
      <c r="J216" s="1"/>
      <c r="K216" s="1" t="s">
        <v>21</v>
      </c>
    </row>
    <row r="217" spans="1:11" x14ac:dyDescent="0.25">
      <c r="B217" s="1">
        <v>5000230016</v>
      </c>
      <c r="C217" s="1">
        <v>114</v>
      </c>
      <c r="D217" s="1">
        <v>1002615</v>
      </c>
      <c r="E217" s="1" t="s">
        <v>284</v>
      </c>
      <c r="F217" s="2">
        <v>24750</v>
      </c>
      <c r="G217" s="2">
        <f t="shared" ref="G217:G222" si="30">F217*4</f>
        <v>99000</v>
      </c>
      <c r="H217" s="1">
        <v>1.32</v>
      </c>
      <c r="I217" s="1"/>
      <c r="J217" s="1"/>
      <c r="K217" s="2">
        <f t="shared" ref="K217:K222" si="31">H217*G217</f>
        <v>130680</v>
      </c>
    </row>
    <row r="218" spans="1:11" x14ac:dyDescent="0.25">
      <c r="B218" s="1">
        <v>5000224416</v>
      </c>
      <c r="C218" s="1">
        <v>114</v>
      </c>
      <c r="D218" s="1">
        <v>1002615</v>
      </c>
      <c r="E218" s="1" t="s">
        <v>284</v>
      </c>
      <c r="F218" s="2">
        <v>12325</v>
      </c>
      <c r="G218" s="2">
        <f t="shared" si="30"/>
        <v>49300</v>
      </c>
      <c r="H218" s="1">
        <v>1.32</v>
      </c>
      <c r="I218" s="1"/>
      <c r="J218" s="1"/>
      <c r="K218" s="2">
        <f t="shared" si="31"/>
        <v>65076</v>
      </c>
    </row>
    <row r="219" spans="1:11" x14ac:dyDescent="0.25">
      <c r="B219" s="1">
        <v>5000224416</v>
      </c>
      <c r="C219" s="1">
        <v>114</v>
      </c>
      <c r="D219" s="1">
        <v>1002615</v>
      </c>
      <c r="E219" s="1" t="s">
        <v>284</v>
      </c>
      <c r="F219" s="2">
        <v>1325</v>
      </c>
      <c r="G219" s="2">
        <f t="shared" si="30"/>
        <v>5300</v>
      </c>
      <c r="H219" s="1">
        <v>1.32</v>
      </c>
      <c r="I219" s="1"/>
      <c r="J219" s="1"/>
      <c r="K219" s="2">
        <f t="shared" si="31"/>
        <v>6996</v>
      </c>
    </row>
    <row r="220" spans="1:11" x14ac:dyDescent="0.25">
      <c r="B220" s="1">
        <v>5000224416</v>
      </c>
      <c r="C220" s="1">
        <v>114</v>
      </c>
      <c r="D220" s="1">
        <v>1002615</v>
      </c>
      <c r="E220" s="1" t="s">
        <v>284</v>
      </c>
      <c r="F220" s="2">
        <v>18600</v>
      </c>
      <c r="G220" s="2">
        <f t="shared" si="30"/>
        <v>74400</v>
      </c>
      <c r="H220" s="1">
        <v>1.32</v>
      </c>
      <c r="I220" s="1"/>
      <c r="J220" s="1"/>
      <c r="K220" s="2">
        <f t="shared" si="31"/>
        <v>98208</v>
      </c>
    </row>
    <row r="221" spans="1:11" x14ac:dyDescent="0.25">
      <c r="B221" s="1">
        <v>5000230122</v>
      </c>
      <c r="C221" s="1">
        <v>114</v>
      </c>
      <c r="D221" s="1">
        <v>1002617</v>
      </c>
      <c r="E221" s="1" t="s">
        <v>285</v>
      </c>
      <c r="F221" s="2">
        <v>17010</v>
      </c>
      <c r="G221" s="2">
        <f t="shared" si="30"/>
        <v>68040</v>
      </c>
      <c r="H221" s="1">
        <v>1.32</v>
      </c>
      <c r="I221" s="1"/>
      <c r="J221" s="1"/>
      <c r="K221" s="2">
        <f t="shared" si="31"/>
        <v>89812.800000000003</v>
      </c>
    </row>
    <row r="222" spans="1:11" x14ac:dyDescent="0.25">
      <c r="B222" s="1">
        <v>5000230122</v>
      </c>
      <c r="C222" s="1">
        <v>114</v>
      </c>
      <c r="D222" s="1">
        <v>1002617</v>
      </c>
      <c r="E222" s="1" t="s">
        <v>285</v>
      </c>
      <c r="F222" s="1">
        <v>358</v>
      </c>
      <c r="G222" s="2">
        <f t="shared" si="30"/>
        <v>1432</v>
      </c>
      <c r="H222" s="1">
        <v>1.32</v>
      </c>
      <c r="I222" s="1"/>
      <c r="J222" s="1"/>
      <c r="K222" s="2">
        <f t="shared" si="31"/>
        <v>1890.24</v>
      </c>
    </row>
    <row r="223" spans="1:1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B224" s="1"/>
      <c r="C224" s="1"/>
      <c r="D224" s="1"/>
      <c r="E224" s="1"/>
      <c r="F224" s="2"/>
      <c r="G224" s="2">
        <f>SUM(G217:G223)</f>
        <v>297472</v>
      </c>
      <c r="H224" s="1"/>
      <c r="I224" s="1"/>
      <c r="J224" s="5" t="s">
        <v>58</v>
      </c>
      <c r="K224" s="33">
        <f>SUM(K217:K222)</f>
        <v>392663.03999999998</v>
      </c>
    </row>
    <row r="226" spans="2:11" x14ac:dyDescent="0.25">
      <c r="K226" s="76">
        <f>K224+K212+K201+K191+K183+K175+K166+K156+K126+K78+K55</f>
        <v>983182.89997858228</v>
      </c>
    </row>
    <row r="229" spans="2:11" x14ac:dyDescent="0.25">
      <c r="D229" t="s">
        <v>293</v>
      </c>
      <c r="E229" t="s">
        <v>295</v>
      </c>
      <c r="F229" t="s">
        <v>296</v>
      </c>
      <c r="G229" t="s">
        <v>233</v>
      </c>
    </row>
    <row r="231" spans="2:11" x14ac:dyDescent="0.25">
      <c r="B231" t="s">
        <v>292</v>
      </c>
      <c r="D231">
        <v>1611700</v>
      </c>
      <c r="E231">
        <f>D231/10000</f>
        <v>161.16999999999999</v>
      </c>
      <c r="F231">
        <f>I240</f>
        <v>446.42857142857156</v>
      </c>
      <c r="G231">
        <f>E231*F231</f>
        <v>71950.89285714287</v>
      </c>
      <c r="I231">
        <v>200000</v>
      </c>
      <c r="K231">
        <f>I231/70</f>
        <v>2857.1428571428573</v>
      </c>
    </row>
    <row r="232" spans="2:11" x14ac:dyDescent="0.25">
      <c r="K232">
        <f>K231/60</f>
        <v>47.61904761904762</v>
      </c>
    </row>
    <row r="233" spans="2:11" x14ac:dyDescent="0.25">
      <c r="B233" t="s">
        <v>294</v>
      </c>
      <c r="D233">
        <v>1236240</v>
      </c>
      <c r="E233">
        <f>D233/13333.33</f>
        <v>92.718023179505792</v>
      </c>
      <c r="F233">
        <v>3000</v>
      </c>
      <c r="G233">
        <f>E233*F233</f>
        <v>278154.06953851739</v>
      </c>
      <c r="K233">
        <f>K232/8</f>
        <v>5.9523809523809526</v>
      </c>
    </row>
    <row r="234" spans="2:11" x14ac:dyDescent="0.25">
      <c r="I234">
        <f>I231/10000</f>
        <v>20</v>
      </c>
      <c r="J234">
        <f>K234/I234</f>
        <v>446.42857142857139</v>
      </c>
      <c r="K234">
        <f>K233*500*3</f>
        <v>8928.5714285714275</v>
      </c>
    </row>
    <row r="236" spans="2:11" x14ac:dyDescent="0.25">
      <c r="I236">
        <f>D231</f>
        <v>1611700</v>
      </c>
      <c r="J236">
        <v>7812</v>
      </c>
      <c r="K236">
        <f>I236/70</f>
        <v>23024.285714285714</v>
      </c>
    </row>
    <row r="237" spans="2:11" x14ac:dyDescent="0.25">
      <c r="I237">
        <f>J236/I236</f>
        <v>4.847055903704163E-3</v>
      </c>
      <c r="J237">
        <f>I237*1000</f>
        <v>4.8470559037041632</v>
      </c>
      <c r="K237">
        <f>K236/60</f>
        <v>383.73809523809524</v>
      </c>
    </row>
    <row r="238" spans="2:11" x14ac:dyDescent="0.25">
      <c r="K238">
        <f>K237/8</f>
        <v>47.967261904761905</v>
      </c>
    </row>
    <row r="239" spans="2:11" x14ac:dyDescent="0.25">
      <c r="I239">
        <f>I236/10000</f>
        <v>161.16999999999999</v>
      </c>
      <c r="K239">
        <f>K238*500*3</f>
        <v>71950.89285714287</v>
      </c>
    </row>
    <row r="240" spans="2:11" x14ac:dyDescent="0.25">
      <c r="I240">
        <f>K239/I239</f>
        <v>446.42857142857156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"/>
  <sheetViews>
    <sheetView topLeftCell="A10" zoomScale="86" zoomScaleNormal="86" workbookViewId="0">
      <selection activeCell="C16" sqref="C16"/>
    </sheetView>
  </sheetViews>
  <sheetFormatPr defaultColWidth="19.7109375" defaultRowHeight="15" x14ac:dyDescent="0.25"/>
  <cols>
    <col min="2" max="2" width="21.5703125" bestFit="1" customWidth="1"/>
    <col min="3" max="3" width="22.42578125" style="29" customWidth="1"/>
    <col min="4" max="4" width="14.140625" bestFit="1" customWidth="1"/>
    <col min="5" max="5" width="14.140625" customWidth="1"/>
    <col min="6" max="6" width="18.140625" customWidth="1"/>
    <col min="7" max="7" width="23.5703125" bestFit="1" customWidth="1"/>
    <col min="8" max="9" width="26" bestFit="1" customWidth="1"/>
    <col min="10" max="10" width="10.85546875" customWidth="1"/>
  </cols>
  <sheetData>
    <row r="3" spans="2:10" ht="30" x14ac:dyDescent="0.25">
      <c r="B3" s="51" t="s">
        <v>77</v>
      </c>
      <c r="C3" s="53" t="s">
        <v>32</v>
      </c>
      <c r="D3" s="53" t="s">
        <v>33</v>
      </c>
      <c r="E3" s="53" t="s">
        <v>24</v>
      </c>
      <c r="F3" s="53" t="s">
        <v>34</v>
      </c>
      <c r="G3" s="53" t="s">
        <v>35</v>
      </c>
      <c r="H3" s="53" t="s">
        <v>36</v>
      </c>
      <c r="I3" s="53" t="s">
        <v>37</v>
      </c>
      <c r="J3" s="51" t="s">
        <v>57</v>
      </c>
    </row>
    <row r="4" spans="2:10" ht="30" x14ac:dyDescent="0.25">
      <c r="B4" s="69" t="s">
        <v>73</v>
      </c>
      <c r="C4" s="62" t="s">
        <v>93</v>
      </c>
      <c r="D4" s="84">
        <f>'Consol April2016'!D4</f>
        <v>499955</v>
      </c>
      <c r="E4" s="56" t="s">
        <v>25</v>
      </c>
      <c r="F4" s="56" t="s">
        <v>117</v>
      </c>
      <c r="G4" s="84"/>
      <c r="H4" s="84">
        <f>'Consol April2016'!H4</f>
        <v>30280.750000000029</v>
      </c>
      <c r="I4" s="96" t="s">
        <v>26</v>
      </c>
      <c r="J4" s="58" t="s">
        <v>48</v>
      </c>
    </row>
    <row r="5" spans="2:10" ht="30" x14ac:dyDescent="0.25">
      <c r="B5" s="69" t="s">
        <v>94</v>
      </c>
      <c r="C5" s="62" t="s">
        <v>27</v>
      </c>
      <c r="D5" s="84">
        <f>'Consol April2016'!D5+'Consol May2016'!D4</f>
        <v>74639.73000000001</v>
      </c>
      <c r="E5" s="56" t="s">
        <v>23</v>
      </c>
      <c r="F5" s="56" t="s">
        <v>56</v>
      </c>
      <c r="G5" s="84">
        <f>'Consol April2016'!G5+'Consol May2016'!G4</f>
        <v>182867.33849999914</v>
      </c>
      <c r="H5" s="84">
        <f>'Consol April2016'!H5+'Consol May2016'!H4</f>
        <v>519734.74566738412</v>
      </c>
      <c r="I5" s="96" t="s">
        <v>28</v>
      </c>
      <c r="J5" s="58" t="s">
        <v>48</v>
      </c>
    </row>
    <row r="6" spans="2:10" x14ac:dyDescent="0.25">
      <c r="B6" s="69" t="s">
        <v>95</v>
      </c>
      <c r="C6" s="62" t="s">
        <v>27</v>
      </c>
      <c r="D6" s="84">
        <f>'Consol April2016'!D6+'Consol May2016'!D5</f>
        <v>18077.3</v>
      </c>
      <c r="E6" s="56" t="s">
        <v>23</v>
      </c>
      <c r="F6" s="56" t="s">
        <v>96</v>
      </c>
      <c r="G6" s="84">
        <f>'Consol April2016'!G6+'Consol May2016'!G5</f>
        <v>44289.384999999791</v>
      </c>
      <c r="H6" s="84">
        <f>'Consol April2016'!H6+'Consol May2016'!H5</f>
        <v>366718.96475707949</v>
      </c>
      <c r="I6" s="96" t="s">
        <v>40</v>
      </c>
      <c r="J6" s="58" t="s">
        <v>48</v>
      </c>
    </row>
    <row r="7" spans="2:10" x14ac:dyDescent="0.25">
      <c r="B7" s="69" t="s">
        <v>74</v>
      </c>
      <c r="C7" s="62" t="s">
        <v>30</v>
      </c>
      <c r="D7" s="84"/>
      <c r="E7" s="56" t="s">
        <v>23</v>
      </c>
      <c r="F7" s="56">
        <v>26.8</v>
      </c>
      <c r="G7" s="84"/>
      <c r="H7" s="84"/>
      <c r="I7" s="96" t="s">
        <v>31</v>
      </c>
      <c r="J7" s="58" t="s">
        <v>48</v>
      </c>
    </row>
    <row r="8" spans="2:10" ht="30" x14ac:dyDescent="0.25">
      <c r="B8" s="69" t="s">
        <v>257</v>
      </c>
      <c r="C8" s="62" t="s">
        <v>30</v>
      </c>
      <c r="D8" s="84">
        <f>'MAY2016'!G360</f>
        <v>1011.4</v>
      </c>
      <c r="E8" s="56" t="s">
        <v>23</v>
      </c>
      <c r="F8" s="56" t="s">
        <v>217</v>
      </c>
      <c r="G8" s="84">
        <f>'Consol May2016'!G11</f>
        <v>6634.7200000000121</v>
      </c>
      <c r="H8" s="84"/>
      <c r="I8" s="96" t="s">
        <v>97</v>
      </c>
      <c r="J8" s="58" t="s">
        <v>48</v>
      </c>
    </row>
    <row r="9" spans="2:10" ht="45" x14ac:dyDescent="0.25">
      <c r="B9" s="69" t="s">
        <v>76</v>
      </c>
      <c r="C9" s="62" t="s">
        <v>68</v>
      </c>
      <c r="D9" s="84">
        <f>'APR2016'!E247</f>
        <v>606</v>
      </c>
      <c r="E9" s="56" t="s">
        <v>23</v>
      </c>
      <c r="F9" s="56" t="s">
        <v>69</v>
      </c>
      <c r="G9" s="84"/>
      <c r="H9" s="84">
        <f>'APR2016'!O248</f>
        <v>26126.261818181818</v>
      </c>
      <c r="I9" s="96" t="s">
        <v>40</v>
      </c>
      <c r="J9" s="58" t="s">
        <v>48</v>
      </c>
    </row>
    <row r="10" spans="2:10" ht="30" x14ac:dyDescent="0.25">
      <c r="B10" s="69" t="s">
        <v>98</v>
      </c>
      <c r="C10" s="62" t="s">
        <v>99</v>
      </c>
      <c r="D10" s="84">
        <f>'Consol April2016'!D8+'Consol May2016'!D6</f>
        <v>3946565</v>
      </c>
      <c r="E10" s="56" t="s">
        <v>39</v>
      </c>
      <c r="F10" s="56" t="s">
        <v>100</v>
      </c>
      <c r="G10" s="84"/>
      <c r="H10" s="84">
        <f>'Consol April2016'!H8+'Consol May2016'!H6</f>
        <v>64876.862461538345</v>
      </c>
      <c r="I10" s="96" t="s">
        <v>101</v>
      </c>
      <c r="J10" s="58" t="s">
        <v>48</v>
      </c>
    </row>
    <row r="11" spans="2:10" x14ac:dyDescent="0.25">
      <c r="B11" s="69" t="s">
        <v>98</v>
      </c>
      <c r="C11" s="62" t="s">
        <v>102</v>
      </c>
      <c r="D11" s="84">
        <f>'Consol April2016'!D9+'Consol May2016'!D7</f>
        <v>34492.009999999995</v>
      </c>
      <c r="E11" s="56" t="s">
        <v>23</v>
      </c>
      <c r="F11" s="56" t="s">
        <v>103</v>
      </c>
      <c r="G11" s="84"/>
      <c r="H11" s="84">
        <f>'Consol April2016'!H9+'Consol May2016'!H7</f>
        <v>86057.637500000128</v>
      </c>
      <c r="I11" s="96" t="s">
        <v>101</v>
      </c>
      <c r="J11" s="58" t="s">
        <v>107</v>
      </c>
    </row>
    <row r="12" spans="2:10" x14ac:dyDescent="0.25">
      <c r="B12" s="70" t="s">
        <v>98</v>
      </c>
      <c r="C12" s="62" t="s">
        <v>104</v>
      </c>
      <c r="D12" s="84"/>
      <c r="E12" s="56" t="s">
        <v>23</v>
      </c>
      <c r="F12" s="56" t="s">
        <v>105</v>
      </c>
      <c r="G12" s="84"/>
      <c r="H12" s="84"/>
      <c r="I12" s="96" t="s">
        <v>106</v>
      </c>
      <c r="J12" s="58" t="s">
        <v>48</v>
      </c>
    </row>
    <row r="13" spans="2:10" ht="30" x14ac:dyDescent="0.25">
      <c r="B13" s="62" t="s">
        <v>370</v>
      </c>
      <c r="C13" s="62" t="s">
        <v>47</v>
      </c>
      <c r="D13" s="84">
        <f>'Consol April2016'!D12+'Consol May2016'!D12</f>
        <v>131200</v>
      </c>
      <c r="E13" s="56" t="s">
        <v>29</v>
      </c>
      <c r="F13" s="56" t="s">
        <v>55</v>
      </c>
      <c r="G13" s="84">
        <f>'Consol April2016'!G12+'Consol May2016'!G12</f>
        <v>3771</v>
      </c>
      <c r="H13" s="84">
        <f>'Consol April2016'!H12+'Consol May2016'!H12</f>
        <v>19965</v>
      </c>
      <c r="I13" s="96" t="s">
        <v>41</v>
      </c>
      <c r="J13" s="58" t="s">
        <v>48</v>
      </c>
    </row>
    <row r="14" spans="2:10" ht="30" x14ac:dyDescent="0.25">
      <c r="B14" s="69" t="s">
        <v>76</v>
      </c>
      <c r="C14" s="63" t="s">
        <v>70</v>
      </c>
      <c r="D14" s="85"/>
      <c r="E14" s="61" t="s">
        <v>25</v>
      </c>
      <c r="F14" s="61">
        <v>0.38</v>
      </c>
      <c r="G14" s="85"/>
      <c r="H14" s="85"/>
      <c r="I14" s="97" t="s">
        <v>71</v>
      </c>
      <c r="J14" s="61" t="s">
        <v>48</v>
      </c>
    </row>
    <row r="15" spans="2:10" ht="30" x14ac:dyDescent="0.25">
      <c r="B15" s="69" t="s">
        <v>260</v>
      </c>
      <c r="C15" s="62" t="s">
        <v>219</v>
      </c>
      <c r="D15" s="84">
        <v>200000</v>
      </c>
      <c r="E15" s="56" t="s">
        <v>25</v>
      </c>
      <c r="F15" s="56" t="s">
        <v>297</v>
      </c>
      <c r="G15" s="84">
        <f>June2016!K234</f>
        <v>8928.5714285714275</v>
      </c>
      <c r="H15" s="84"/>
      <c r="I15" s="96"/>
      <c r="J15" s="58" t="s">
        <v>49</v>
      </c>
    </row>
    <row r="16" spans="2:10" ht="30" x14ac:dyDescent="0.25">
      <c r="B16" s="69" t="s">
        <v>75</v>
      </c>
      <c r="C16" s="62" t="s">
        <v>45</v>
      </c>
      <c r="D16" s="84"/>
      <c r="E16" s="56" t="s">
        <v>46</v>
      </c>
      <c r="F16" s="56">
        <f>3000</f>
        <v>3000</v>
      </c>
      <c r="G16" s="84"/>
      <c r="H16" s="84"/>
      <c r="I16" s="96"/>
      <c r="J16" s="58" t="s">
        <v>49</v>
      </c>
    </row>
    <row r="17" spans="2:10" x14ac:dyDescent="0.25">
      <c r="B17" s="69" t="s">
        <v>162</v>
      </c>
      <c r="C17" s="62" t="s">
        <v>152</v>
      </c>
      <c r="D17" s="84">
        <f>'Consol April2016'!D10+'Consol May2016'!D9</f>
        <v>329248</v>
      </c>
      <c r="E17" s="56" t="s">
        <v>29</v>
      </c>
      <c r="F17" s="56"/>
      <c r="G17" s="84">
        <f>'Consol April2016'!G10+'Consol May2016'!G9</f>
        <v>433699.84999999992</v>
      </c>
      <c r="H17" s="84"/>
      <c r="I17" s="96" t="s">
        <v>164</v>
      </c>
      <c r="J17" s="58" t="s">
        <v>48</v>
      </c>
    </row>
    <row r="18" spans="2:10" x14ac:dyDescent="0.25">
      <c r="B18" s="69" t="s">
        <v>162</v>
      </c>
      <c r="C18" s="62" t="s">
        <v>165</v>
      </c>
      <c r="D18" s="84">
        <f>'Consol April2016'!D11+'Consol May2016'!D10</f>
        <v>92467.010000000009</v>
      </c>
      <c r="E18" s="56"/>
      <c r="F18" s="56"/>
      <c r="G18" s="84">
        <f>'Consol April2016'!G11+'Consol May2016'!G10</f>
        <v>125120.35669999961</v>
      </c>
      <c r="H18" s="84"/>
      <c r="I18" s="96" t="s">
        <v>163</v>
      </c>
      <c r="J18" s="58" t="s">
        <v>48</v>
      </c>
    </row>
    <row r="19" spans="2:10" x14ac:dyDescent="0.25">
      <c r="B19" s="68"/>
      <c r="C19" s="62"/>
      <c r="D19" s="84"/>
      <c r="E19" s="56"/>
      <c r="F19" s="56"/>
      <c r="G19" s="84"/>
      <c r="H19" s="84"/>
      <c r="I19" s="98"/>
      <c r="J19" s="58"/>
    </row>
    <row r="20" spans="2:10" ht="21" x14ac:dyDescent="0.25">
      <c r="B20" s="52"/>
      <c r="C20" s="203" t="s">
        <v>42</v>
      </c>
      <c r="D20" s="204"/>
      <c r="E20" s="66"/>
      <c r="F20" s="66"/>
      <c r="G20" s="87">
        <f>SUM(G5:G18)</f>
        <v>805311.22162856988</v>
      </c>
      <c r="H20" s="87">
        <f>SUM(H4:H18)</f>
        <v>1113760.2222041839</v>
      </c>
      <c r="I20" s="99">
        <f>G20+H20</f>
        <v>1919071.4438327537</v>
      </c>
      <c r="J20" s="67"/>
    </row>
    <row r="22" spans="2:10" x14ac:dyDescent="0.25">
      <c r="G22" s="64">
        <f>'Consol JUNE2016'!G18</f>
        <v>506520.48605714273</v>
      </c>
      <c r="H22" s="64">
        <f>'Consol JUNE2016'!H18</f>
        <v>686955.84131709975</v>
      </c>
    </row>
    <row r="23" spans="2:10" x14ac:dyDescent="0.25">
      <c r="G23" s="64">
        <f>SUM(G20:G22)</f>
        <v>1311831.7076857127</v>
      </c>
      <c r="H23" s="64">
        <f>SUM(H20:H22)</f>
        <v>1800716.0635212837</v>
      </c>
      <c r="I23" s="64">
        <f>SUM(G23:H23)</f>
        <v>3112547.7712069964</v>
      </c>
    </row>
  </sheetData>
  <mergeCells count="1">
    <mergeCell ref="C20:D2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zoomScale="86" zoomScaleNormal="86" workbookViewId="0">
      <selection activeCell="H13" sqref="H13"/>
    </sheetView>
  </sheetViews>
  <sheetFormatPr defaultColWidth="19.7109375" defaultRowHeight="15" x14ac:dyDescent="0.25"/>
  <cols>
    <col min="2" max="2" width="21.5703125" bestFit="1" customWidth="1"/>
    <col min="3" max="3" width="22.42578125" style="29" customWidth="1"/>
    <col min="4" max="4" width="13.5703125" bestFit="1" customWidth="1"/>
    <col min="5" max="5" width="14.140625" customWidth="1"/>
    <col min="6" max="6" width="18.140625" customWidth="1"/>
    <col min="7" max="7" width="18.7109375" bestFit="1" customWidth="1"/>
    <col min="8" max="8" width="23.85546875" bestFit="1" customWidth="1"/>
    <col min="9" max="9" width="21.85546875" bestFit="1" customWidth="1"/>
    <col min="10" max="10" width="10.85546875" customWidth="1"/>
  </cols>
  <sheetData>
    <row r="2" spans="2:10" ht="21" x14ac:dyDescent="0.35">
      <c r="B2" s="71" t="s">
        <v>259</v>
      </c>
    </row>
    <row r="3" spans="2:10" ht="27" x14ac:dyDescent="0.25">
      <c r="B3" s="5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ht="27" x14ac:dyDescent="0.25">
      <c r="B4" s="30" t="s">
        <v>94</v>
      </c>
      <c r="C4" s="65" t="s">
        <v>27</v>
      </c>
      <c r="D4" s="86">
        <f>'MAY2016'!G67</f>
        <v>34014.54</v>
      </c>
      <c r="E4" s="15" t="s">
        <v>23</v>
      </c>
      <c r="F4" s="15" t="s">
        <v>56</v>
      </c>
      <c r="G4" s="86">
        <f>'MAY2016'!G73</f>
        <v>83335.622999999614</v>
      </c>
      <c r="H4" s="86">
        <f>'MAY2016'!N69</f>
        <v>233495.60607911093</v>
      </c>
      <c r="I4" s="92" t="s">
        <v>28</v>
      </c>
      <c r="J4" s="23" t="s">
        <v>48</v>
      </c>
    </row>
    <row r="5" spans="2:10" x14ac:dyDescent="0.25">
      <c r="B5" s="30" t="s">
        <v>95</v>
      </c>
      <c r="C5" s="65" t="s">
        <v>27</v>
      </c>
      <c r="D5" s="86">
        <f>'MAY2016'!G85</f>
        <v>5009.4000000000005</v>
      </c>
      <c r="E5" s="15" t="s">
        <v>23</v>
      </c>
      <c r="F5" s="15" t="s">
        <v>96</v>
      </c>
      <c r="G5" s="86">
        <f>'MAY2016'!E91</f>
        <v>12273.029999999944</v>
      </c>
      <c r="H5" s="86">
        <f>'MAY2016'!K85</f>
        <v>69630.660000000033</v>
      </c>
      <c r="I5" s="92" t="s">
        <v>40</v>
      </c>
      <c r="J5" s="23" t="s">
        <v>48</v>
      </c>
    </row>
    <row r="6" spans="2:10" ht="27" x14ac:dyDescent="0.25">
      <c r="B6" s="30" t="s">
        <v>98</v>
      </c>
      <c r="C6" s="65" t="s">
        <v>99</v>
      </c>
      <c r="D6" s="86">
        <f>'MAY2016'!G142</f>
        <v>1550860</v>
      </c>
      <c r="E6" s="15" t="s">
        <v>39</v>
      </c>
      <c r="F6" s="15" t="s">
        <v>100</v>
      </c>
      <c r="G6" s="86"/>
      <c r="H6" s="86">
        <f>'MAY2016'!K142</f>
        <v>25399.002461538417</v>
      </c>
      <c r="I6" s="92" t="s">
        <v>101</v>
      </c>
      <c r="J6" s="23" t="s">
        <v>48</v>
      </c>
    </row>
    <row r="7" spans="2:10" ht="27" x14ac:dyDescent="0.25">
      <c r="B7" s="30" t="s">
        <v>98</v>
      </c>
      <c r="C7" s="65" t="s">
        <v>102</v>
      </c>
      <c r="D7" s="86">
        <f>'MAY2016'!G169</f>
        <v>24042.819999999996</v>
      </c>
      <c r="E7" s="15" t="s">
        <v>23</v>
      </c>
      <c r="F7" s="15" t="s">
        <v>103</v>
      </c>
      <c r="G7" s="86"/>
      <c r="H7" s="86">
        <f>'MAY2016'!K169</f>
        <v>70875.578500000076</v>
      </c>
      <c r="I7" s="92" t="s">
        <v>101</v>
      </c>
      <c r="J7" s="23" t="s">
        <v>48</v>
      </c>
    </row>
    <row r="8" spans="2:10" ht="27" x14ac:dyDescent="0.25">
      <c r="B8" s="30" t="s">
        <v>218</v>
      </c>
      <c r="C8" s="65" t="s">
        <v>219</v>
      </c>
      <c r="D8" s="86">
        <v>2000000</v>
      </c>
      <c r="E8" s="15" t="s">
        <v>25</v>
      </c>
      <c r="F8" s="15" t="s">
        <v>297</v>
      </c>
      <c r="G8" s="86">
        <v>8928</v>
      </c>
      <c r="H8" s="86"/>
      <c r="I8" s="92"/>
      <c r="J8" s="23" t="s">
        <v>49</v>
      </c>
    </row>
    <row r="9" spans="2:10" x14ac:dyDescent="0.25">
      <c r="B9" s="30" t="s">
        <v>162</v>
      </c>
      <c r="C9" s="65" t="s">
        <v>152</v>
      </c>
      <c r="D9" s="86">
        <f>'MAY2016'!G353</f>
        <v>176236</v>
      </c>
      <c r="E9" s="15" t="s">
        <v>29</v>
      </c>
      <c r="F9" s="15"/>
      <c r="G9" s="86">
        <f>'MAY2016'!K353</f>
        <v>234345.74999999994</v>
      </c>
      <c r="H9" s="86"/>
      <c r="I9" s="92" t="s">
        <v>164</v>
      </c>
      <c r="J9" s="23" t="s">
        <v>48</v>
      </c>
    </row>
    <row r="10" spans="2:10" x14ac:dyDescent="0.25">
      <c r="B10" s="30" t="s">
        <v>162</v>
      </c>
      <c r="C10" s="65" t="s">
        <v>165</v>
      </c>
      <c r="D10" s="86">
        <f>'MAY2016'!F211</f>
        <v>34164.42</v>
      </c>
      <c r="E10" s="15"/>
      <c r="F10" s="15"/>
      <c r="G10" s="86">
        <f>'MAY2016'!G211</f>
        <v>49538.055699999954</v>
      </c>
      <c r="H10" s="86"/>
      <c r="I10" s="92" t="s">
        <v>163</v>
      </c>
      <c r="J10" s="23" t="s">
        <v>48</v>
      </c>
    </row>
    <row r="11" spans="2:10" ht="27" x14ac:dyDescent="0.25">
      <c r="B11" s="30" t="s">
        <v>308</v>
      </c>
      <c r="C11" s="72" t="s">
        <v>30</v>
      </c>
      <c r="D11" s="86">
        <f>'MAY2016'!G360</f>
        <v>1011.4</v>
      </c>
      <c r="E11" s="15" t="s">
        <v>23</v>
      </c>
      <c r="F11" s="15" t="s">
        <v>217</v>
      </c>
      <c r="G11" s="86">
        <f>'MAY2016'!K360</f>
        <v>6634.7200000000121</v>
      </c>
      <c r="H11" s="86">
        <f>'MAY2016'!K362</f>
        <v>0</v>
      </c>
      <c r="I11" s="92" t="s">
        <v>97</v>
      </c>
      <c r="J11" s="23" t="s">
        <v>48</v>
      </c>
    </row>
    <row r="12" spans="2:10" ht="30" x14ac:dyDescent="0.25">
      <c r="B12" s="62" t="s">
        <v>370</v>
      </c>
      <c r="C12" s="62" t="s">
        <v>47</v>
      </c>
      <c r="D12" s="84">
        <f>Sheet1!E13</f>
        <v>90500</v>
      </c>
      <c r="E12" s="56" t="s">
        <v>29</v>
      </c>
      <c r="F12" s="56" t="s">
        <v>55</v>
      </c>
      <c r="G12" s="84">
        <f>Sheet1!BC13</f>
        <v>2550</v>
      </c>
      <c r="H12" s="84">
        <f>Sheet1!BA13</f>
        <v>13860.000000000002</v>
      </c>
      <c r="I12" s="96" t="s">
        <v>41</v>
      </c>
      <c r="J12" s="58" t="s">
        <v>48</v>
      </c>
    </row>
    <row r="13" spans="2:10" ht="19.5" x14ac:dyDescent="0.25">
      <c r="B13" s="19"/>
      <c r="C13" s="201" t="s">
        <v>42</v>
      </c>
      <c r="D13" s="202"/>
      <c r="E13" s="31"/>
      <c r="F13" s="31"/>
      <c r="G13" s="93">
        <f>SUM(G4:G12)</f>
        <v>397605.17869999947</v>
      </c>
      <c r="H13" s="93">
        <f>SUM(H4:H12)</f>
        <v>413260.84704064945</v>
      </c>
      <c r="I13" s="94">
        <f>G13+H13</f>
        <v>810866.02574064885</v>
      </c>
      <c r="J13" s="23"/>
    </row>
  </sheetData>
  <mergeCells count="1">
    <mergeCell ref="C13:D13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5"/>
  <sheetViews>
    <sheetView topLeftCell="A202" workbookViewId="0">
      <selection activeCell="N92" sqref="N92"/>
    </sheetView>
  </sheetViews>
  <sheetFormatPr defaultRowHeight="15" x14ac:dyDescent="0.25"/>
  <cols>
    <col min="2" max="2" width="11" bestFit="1" customWidth="1"/>
    <col min="4" max="4" width="12.42578125" customWidth="1"/>
    <col min="5" max="5" width="45.85546875" bestFit="1" customWidth="1"/>
    <col min="8" max="8" width="12.5703125" bestFit="1" customWidth="1"/>
    <col min="10" max="10" width="10.42578125" bestFit="1" customWidth="1"/>
  </cols>
  <sheetData>
    <row r="2" spans="2:17" ht="45" x14ac:dyDescent="0.25">
      <c r="B2" s="1" t="s">
        <v>172</v>
      </c>
      <c r="C2" s="1" t="s">
        <v>168</v>
      </c>
      <c r="D2" s="1" t="s">
        <v>167</v>
      </c>
      <c r="E2" s="1" t="s">
        <v>169</v>
      </c>
      <c r="F2" s="1"/>
      <c r="G2" s="1" t="s">
        <v>22</v>
      </c>
      <c r="H2" s="25" t="s">
        <v>61</v>
      </c>
      <c r="I2" s="25" t="s">
        <v>62</v>
      </c>
      <c r="J2" s="12" t="s">
        <v>52</v>
      </c>
      <c r="K2" s="12" t="s">
        <v>21</v>
      </c>
      <c r="L2" s="17" t="s">
        <v>53</v>
      </c>
      <c r="M2" s="17" t="s">
        <v>54</v>
      </c>
      <c r="N2" s="17" t="s">
        <v>1</v>
      </c>
      <c r="O2" s="17" t="s">
        <v>2</v>
      </c>
      <c r="P2" s="17" t="s">
        <v>3</v>
      </c>
      <c r="Q2" s="17" t="s">
        <v>4</v>
      </c>
    </row>
    <row r="3" spans="2:17" x14ac:dyDescent="0.25">
      <c r="B3" s="1">
        <v>5000218168</v>
      </c>
      <c r="C3" s="1">
        <v>114</v>
      </c>
      <c r="D3" s="1">
        <v>1000618</v>
      </c>
      <c r="E3" s="1" t="s">
        <v>8</v>
      </c>
      <c r="F3" s="1"/>
      <c r="G3" s="1">
        <v>489.1</v>
      </c>
      <c r="H3" s="25">
        <v>150.15</v>
      </c>
      <c r="I3" s="25">
        <v>151</v>
      </c>
      <c r="J3" s="12">
        <f t="shared" ref="J3:J65" si="0">I3-H3</f>
        <v>0.84999999999999432</v>
      </c>
      <c r="K3" s="12">
        <f>J3*G3</f>
        <v>415.73499999999723</v>
      </c>
      <c r="L3" s="9">
        <v>15.4</v>
      </c>
      <c r="M3" s="9">
        <v>14.43</v>
      </c>
      <c r="N3" s="7">
        <f>G3/L3</f>
        <v>31.759740259740262</v>
      </c>
      <c r="O3" s="7">
        <f>G3/M3</f>
        <v>33.8946638946639</v>
      </c>
      <c r="P3" s="7">
        <f t="shared" ref="P3:P65" si="1">O3-N3</f>
        <v>2.1349236349236378</v>
      </c>
      <c r="Q3" s="10">
        <f t="shared" ref="Q3:Q33" si="2">P3*L3*I3</f>
        <v>4964.5514206514272</v>
      </c>
    </row>
    <row r="4" spans="2:17" x14ac:dyDescent="0.25">
      <c r="B4" s="1">
        <v>5000218143</v>
      </c>
      <c r="C4" s="1">
        <v>114</v>
      </c>
      <c r="D4" s="1">
        <v>1000618</v>
      </c>
      <c r="E4" s="1" t="s">
        <v>8</v>
      </c>
      <c r="F4" s="1"/>
      <c r="G4" s="1">
        <v>826.16</v>
      </c>
      <c r="H4" s="25">
        <v>150.15</v>
      </c>
      <c r="I4" s="25">
        <v>151</v>
      </c>
      <c r="J4" s="12">
        <f t="shared" si="0"/>
        <v>0.84999999999999432</v>
      </c>
      <c r="K4" s="12">
        <f t="shared" ref="K4:K65" si="3">J4*G4</f>
        <v>702.23599999999533</v>
      </c>
      <c r="L4" s="9">
        <v>15.4</v>
      </c>
      <c r="M4" s="9">
        <v>14.43</v>
      </c>
      <c r="N4" s="7">
        <f t="shared" ref="N4:N33" si="4">G4/L4</f>
        <v>53.646753246753242</v>
      </c>
      <c r="O4" s="7">
        <f t="shared" ref="O4:O33" si="5">G4/M4</f>
        <v>57.252945252945253</v>
      </c>
      <c r="P4" s="7">
        <f t="shared" si="1"/>
        <v>3.6061920061920105</v>
      </c>
      <c r="Q4" s="10">
        <f t="shared" si="2"/>
        <v>8385.8388911989005</v>
      </c>
    </row>
    <row r="5" spans="2:17" x14ac:dyDescent="0.25">
      <c r="B5" s="1">
        <v>5000218168</v>
      </c>
      <c r="C5" s="1">
        <v>114</v>
      </c>
      <c r="D5" s="1">
        <v>1000690</v>
      </c>
      <c r="E5" s="1" t="s">
        <v>173</v>
      </c>
      <c r="F5" s="1"/>
      <c r="G5" s="1">
        <v>524.89</v>
      </c>
      <c r="H5" s="25">
        <v>150.15</v>
      </c>
      <c r="I5" s="25">
        <v>151</v>
      </c>
      <c r="J5" s="12">
        <f t="shared" si="0"/>
        <v>0.84999999999999432</v>
      </c>
      <c r="K5" s="12">
        <f t="shared" si="3"/>
        <v>446.15649999999698</v>
      </c>
      <c r="L5" s="9">
        <v>20.8</v>
      </c>
      <c r="M5" s="9">
        <v>19.559999999999999</v>
      </c>
      <c r="N5" s="7">
        <f t="shared" si="4"/>
        <v>25.235096153846154</v>
      </c>
      <c r="O5" s="7">
        <f t="shared" si="5"/>
        <v>26.834867075664622</v>
      </c>
      <c r="P5" s="7">
        <f t="shared" si="1"/>
        <v>1.5997709218184681</v>
      </c>
      <c r="Q5" s="10">
        <f t="shared" si="2"/>
        <v>5024.5605112474441</v>
      </c>
    </row>
    <row r="6" spans="2:17" x14ac:dyDescent="0.25">
      <c r="B6" s="1">
        <v>5000218168</v>
      </c>
      <c r="C6" s="1">
        <v>114</v>
      </c>
      <c r="D6" s="1">
        <v>1000694</v>
      </c>
      <c r="E6" s="1" t="s">
        <v>9</v>
      </c>
      <c r="F6" s="1"/>
      <c r="G6" s="1">
        <v>462.41</v>
      </c>
      <c r="H6" s="25">
        <v>150.15</v>
      </c>
      <c r="I6" s="25">
        <v>151</v>
      </c>
      <c r="J6" s="12">
        <f t="shared" si="0"/>
        <v>0.84999999999999432</v>
      </c>
      <c r="K6" s="12">
        <f t="shared" si="3"/>
        <v>393.04849999999738</v>
      </c>
      <c r="L6" s="9">
        <v>20.8</v>
      </c>
      <c r="M6" s="9">
        <v>19.559999999999999</v>
      </c>
      <c r="N6" s="7">
        <f t="shared" si="4"/>
        <v>22.231249999999999</v>
      </c>
      <c r="O6" s="7">
        <f t="shared" si="5"/>
        <v>23.640593047034766</v>
      </c>
      <c r="P6" s="7">
        <f t="shared" si="1"/>
        <v>1.409343047034767</v>
      </c>
      <c r="Q6" s="10">
        <f t="shared" si="2"/>
        <v>4426.4646421267962</v>
      </c>
    </row>
    <row r="7" spans="2:17" x14ac:dyDescent="0.25">
      <c r="B7" s="1">
        <v>5000218168</v>
      </c>
      <c r="C7" s="1">
        <v>114</v>
      </c>
      <c r="D7" s="1">
        <v>1000694</v>
      </c>
      <c r="E7" s="1" t="s">
        <v>9</v>
      </c>
      <c r="F7" s="1"/>
      <c r="G7" s="1">
        <v>550</v>
      </c>
      <c r="H7" s="25">
        <v>150.15</v>
      </c>
      <c r="I7" s="25">
        <v>151</v>
      </c>
      <c r="J7" s="12">
        <f t="shared" si="0"/>
        <v>0.84999999999999432</v>
      </c>
      <c r="K7" s="12">
        <f t="shared" si="3"/>
        <v>467.49999999999687</v>
      </c>
      <c r="L7" s="9">
        <v>20.8</v>
      </c>
      <c r="M7" s="9">
        <v>19.559999999999999</v>
      </c>
      <c r="N7" s="7">
        <f t="shared" si="4"/>
        <v>26.44230769230769</v>
      </c>
      <c r="O7" s="7">
        <f t="shared" si="5"/>
        <v>28.118609406952967</v>
      </c>
      <c r="P7" s="7">
        <f t="shared" si="1"/>
        <v>1.6763017146452768</v>
      </c>
      <c r="Q7" s="10">
        <f t="shared" si="2"/>
        <v>5264.9284253578853</v>
      </c>
    </row>
    <row r="8" spans="2:17" x14ac:dyDescent="0.25">
      <c r="B8" s="1">
        <v>5000223196</v>
      </c>
      <c r="C8" s="1">
        <v>114</v>
      </c>
      <c r="D8" s="1">
        <v>1000818</v>
      </c>
      <c r="E8" s="1" t="s">
        <v>6</v>
      </c>
      <c r="F8" s="1"/>
      <c r="G8" s="1">
        <v>191.42</v>
      </c>
      <c r="H8" s="25">
        <v>150.15</v>
      </c>
      <c r="I8" s="25">
        <v>151</v>
      </c>
      <c r="J8" s="12">
        <f t="shared" si="0"/>
        <v>0.84999999999999432</v>
      </c>
      <c r="K8" s="12">
        <f t="shared" si="3"/>
        <v>162.70699999999891</v>
      </c>
      <c r="L8" s="3">
        <v>20.11</v>
      </c>
      <c r="M8" s="7">
        <v>19.600000000000001</v>
      </c>
      <c r="N8" s="7">
        <f t="shared" si="4"/>
        <v>9.5186474390850329</v>
      </c>
      <c r="O8" s="7">
        <f t="shared" si="5"/>
        <v>9.7663265306122433</v>
      </c>
      <c r="P8" s="7">
        <f t="shared" si="1"/>
        <v>0.24767909152721046</v>
      </c>
      <c r="Q8" s="10">
        <f t="shared" si="2"/>
        <v>752.1048061224426</v>
      </c>
    </row>
    <row r="9" spans="2:17" x14ac:dyDescent="0.25">
      <c r="B9" s="1">
        <v>5000223196</v>
      </c>
      <c r="C9" s="1">
        <v>114</v>
      </c>
      <c r="D9" s="1">
        <v>1000818</v>
      </c>
      <c r="E9" s="1" t="s">
        <v>6</v>
      </c>
      <c r="F9" s="1"/>
      <c r="G9" s="3">
        <v>1087.1300000000001</v>
      </c>
      <c r="H9" s="25">
        <v>150.15</v>
      </c>
      <c r="I9" s="25">
        <v>151</v>
      </c>
      <c r="J9" s="12">
        <f t="shared" si="0"/>
        <v>0.84999999999999432</v>
      </c>
      <c r="K9" s="12">
        <f t="shared" si="3"/>
        <v>924.06049999999391</v>
      </c>
      <c r="L9" s="3">
        <v>20.11</v>
      </c>
      <c r="M9" s="7">
        <v>19.600000000000001</v>
      </c>
      <c r="N9" s="7">
        <f t="shared" si="4"/>
        <v>54.059174540029844</v>
      </c>
      <c r="O9" s="7">
        <f t="shared" si="5"/>
        <v>55.465816326530614</v>
      </c>
      <c r="P9" s="7">
        <f t="shared" si="1"/>
        <v>1.4066417865007708</v>
      </c>
      <c r="Q9" s="10">
        <f t="shared" si="2"/>
        <v>4271.4225153061052</v>
      </c>
    </row>
    <row r="10" spans="2:17" x14ac:dyDescent="0.25">
      <c r="B10" s="1">
        <v>5000222858</v>
      </c>
      <c r="C10" s="1">
        <v>114</v>
      </c>
      <c r="D10" s="1">
        <v>1000818</v>
      </c>
      <c r="E10" s="1" t="s">
        <v>6</v>
      </c>
      <c r="F10" s="1"/>
      <c r="G10" s="3">
        <v>1694.19</v>
      </c>
      <c r="H10" s="25">
        <v>150.15</v>
      </c>
      <c r="I10" s="25">
        <v>151</v>
      </c>
      <c r="J10" s="12">
        <f t="shared" si="0"/>
        <v>0.84999999999999432</v>
      </c>
      <c r="K10" s="12">
        <f t="shared" si="3"/>
        <v>1440.0614999999905</v>
      </c>
      <c r="L10" s="3">
        <v>20.11</v>
      </c>
      <c r="M10" s="7">
        <v>19.600000000000001</v>
      </c>
      <c r="N10" s="7">
        <f t="shared" si="4"/>
        <v>84.246146195922435</v>
      </c>
      <c r="O10" s="7">
        <f t="shared" si="5"/>
        <v>86.438265306122446</v>
      </c>
      <c r="P10" s="7">
        <f t="shared" si="1"/>
        <v>2.1921191102000108</v>
      </c>
      <c r="Q10" s="10">
        <f t="shared" si="2"/>
        <v>6656.6108112244547</v>
      </c>
    </row>
    <row r="11" spans="2:17" x14ac:dyDescent="0.25">
      <c r="B11" s="1">
        <v>5000222858</v>
      </c>
      <c r="C11" s="1">
        <v>114</v>
      </c>
      <c r="D11" s="1">
        <v>1000818</v>
      </c>
      <c r="E11" s="1" t="s">
        <v>6</v>
      </c>
      <c r="F11" s="1"/>
      <c r="G11" s="2">
        <v>1170</v>
      </c>
      <c r="H11" s="25">
        <v>150.15</v>
      </c>
      <c r="I11" s="25">
        <v>151</v>
      </c>
      <c r="J11" s="12">
        <f t="shared" si="0"/>
        <v>0.84999999999999432</v>
      </c>
      <c r="K11" s="12">
        <f t="shared" si="3"/>
        <v>994.49999999999341</v>
      </c>
      <c r="L11" s="3">
        <v>20.11</v>
      </c>
      <c r="M11" s="7">
        <v>19.600000000000001</v>
      </c>
      <c r="N11" s="7">
        <f t="shared" si="4"/>
        <v>58.180009945300846</v>
      </c>
      <c r="O11" s="7">
        <f t="shared" si="5"/>
        <v>59.693877551020407</v>
      </c>
      <c r="P11" s="7">
        <f t="shared" si="1"/>
        <v>1.513867605719561</v>
      </c>
      <c r="Q11" s="10">
        <f t="shared" si="2"/>
        <v>4597.0255102040765</v>
      </c>
    </row>
    <row r="12" spans="2:17" x14ac:dyDescent="0.25">
      <c r="B12" s="1">
        <v>5000222852</v>
      </c>
      <c r="C12" s="1">
        <v>114</v>
      </c>
      <c r="D12" s="1">
        <v>1000818</v>
      </c>
      <c r="E12" s="1" t="s">
        <v>6</v>
      </c>
      <c r="F12" s="1"/>
      <c r="G12" s="3">
        <v>2145.7600000000002</v>
      </c>
      <c r="H12" s="25">
        <v>150.15</v>
      </c>
      <c r="I12" s="25">
        <v>151</v>
      </c>
      <c r="J12" s="12">
        <f t="shared" si="0"/>
        <v>0.84999999999999432</v>
      </c>
      <c r="K12" s="12">
        <f t="shared" si="3"/>
        <v>1823.8959999999879</v>
      </c>
      <c r="L12" s="3">
        <v>20.11</v>
      </c>
      <c r="M12" s="7">
        <v>19.600000000000001</v>
      </c>
      <c r="N12" s="7">
        <f t="shared" si="4"/>
        <v>106.70114370959723</v>
      </c>
      <c r="O12" s="7">
        <f t="shared" si="5"/>
        <v>109.47755102040817</v>
      </c>
      <c r="P12" s="7">
        <f t="shared" si="1"/>
        <v>2.7764073108109386</v>
      </c>
      <c r="Q12" s="10">
        <f t="shared" si="2"/>
        <v>8430.8662040816034</v>
      </c>
    </row>
    <row r="13" spans="2:17" x14ac:dyDescent="0.25">
      <c r="B13" s="1">
        <v>5000218168</v>
      </c>
      <c r="C13" s="1">
        <v>114</v>
      </c>
      <c r="D13" s="1">
        <v>1000818</v>
      </c>
      <c r="E13" s="1" t="s">
        <v>6</v>
      </c>
      <c r="F13" s="1"/>
      <c r="G13" s="1">
        <v>752.52</v>
      </c>
      <c r="H13" s="25">
        <v>150.15</v>
      </c>
      <c r="I13" s="25">
        <v>151</v>
      </c>
      <c r="J13" s="12">
        <f t="shared" si="0"/>
        <v>0.84999999999999432</v>
      </c>
      <c r="K13" s="12">
        <f t="shared" si="3"/>
        <v>639.64199999999573</v>
      </c>
      <c r="L13" s="3">
        <v>20.11</v>
      </c>
      <c r="M13" s="7">
        <v>19.600000000000001</v>
      </c>
      <c r="N13" s="7">
        <f t="shared" si="4"/>
        <v>37.420188960716061</v>
      </c>
      <c r="O13" s="7">
        <f t="shared" si="5"/>
        <v>38.393877551020402</v>
      </c>
      <c r="P13" s="7">
        <f t="shared" si="1"/>
        <v>0.97368859030434152</v>
      </c>
      <c r="Q13" s="10">
        <f t="shared" si="2"/>
        <v>2956.7125102040663</v>
      </c>
    </row>
    <row r="14" spans="2:17" x14ac:dyDescent="0.25">
      <c r="B14" s="1">
        <v>5000218144</v>
      </c>
      <c r="C14" s="1">
        <v>114</v>
      </c>
      <c r="D14" s="1">
        <v>1000820</v>
      </c>
      <c r="E14" s="1" t="s">
        <v>174</v>
      </c>
      <c r="F14" s="1"/>
      <c r="G14" s="1">
        <v>513.16</v>
      </c>
      <c r="H14" s="25">
        <v>150.15</v>
      </c>
      <c r="I14" s="25">
        <v>151</v>
      </c>
      <c r="J14" s="12">
        <f t="shared" si="0"/>
        <v>0.84999999999999432</v>
      </c>
      <c r="K14" s="12">
        <f t="shared" si="3"/>
        <v>436.18599999999708</v>
      </c>
      <c r="L14" s="3">
        <v>20.11</v>
      </c>
      <c r="M14" s="7">
        <v>19.600000000000001</v>
      </c>
      <c r="N14" s="7">
        <f t="shared" si="4"/>
        <v>25.517652909000496</v>
      </c>
      <c r="O14" s="7">
        <f t="shared" si="5"/>
        <v>26.181632653061222</v>
      </c>
      <c r="P14" s="7">
        <f t="shared" si="1"/>
        <v>0.66397974406072535</v>
      </c>
      <c r="Q14" s="10">
        <f t="shared" si="2"/>
        <v>2016.2475306122392</v>
      </c>
    </row>
    <row r="15" spans="2:17" x14ac:dyDescent="0.25">
      <c r="B15" s="1">
        <v>5000218168</v>
      </c>
      <c r="C15" s="1">
        <v>114</v>
      </c>
      <c r="D15" s="1">
        <v>1000820</v>
      </c>
      <c r="E15" s="1" t="s">
        <v>174</v>
      </c>
      <c r="F15" s="1"/>
      <c r="G15" s="1">
        <v>245.23</v>
      </c>
      <c r="H15" s="25">
        <v>150.15</v>
      </c>
      <c r="I15" s="25">
        <v>151</v>
      </c>
      <c r="J15" s="12">
        <f t="shared" si="0"/>
        <v>0.84999999999999432</v>
      </c>
      <c r="K15" s="12">
        <f t="shared" si="3"/>
        <v>208.44549999999859</v>
      </c>
      <c r="L15" s="3">
        <v>20.11</v>
      </c>
      <c r="M15" s="7">
        <v>19.600000000000001</v>
      </c>
      <c r="N15" s="7">
        <f t="shared" si="4"/>
        <v>12.194430631526604</v>
      </c>
      <c r="O15" s="7">
        <f t="shared" si="5"/>
        <v>12.51173469387755</v>
      </c>
      <c r="P15" s="7">
        <f t="shared" si="1"/>
        <v>0.31730406235094577</v>
      </c>
      <c r="Q15" s="10">
        <f t="shared" si="2"/>
        <v>963.52868877550543</v>
      </c>
    </row>
    <row r="16" spans="2:17" x14ac:dyDescent="0.25">
      <c r="B16" s="1">
        <v>5000218168</v>
      </c>
      <c r="C16" s="1">
        <v>114</v>
      </c>
      <c r="D16" s="1">
        <v>1000820</v>
      </c>
      <c r="E16" s="1" t="s">
        <v>174</v>
      </c>
      <c r="F16" s="1"/>
      <c r="G16" s="1">
        <v>362</v>
      </c>
      <c r="H16" s="25">
        <v>150.15</v>
      </c>
      <c r="I16" s="25">
        <v>151</v>
      </c>
      <c r="J16" s="12">
        <f t="shared" si="0"/>
        <v>0.84999999999999432</v>
      </c>
      <c r="K16" s="12">
        <f t="shared" si="3"/>
        <v>307.69999999999794</v>
      </c>
      <c r="L16" s="3">
        <v>20.11</v>
      </c>
      <c r="M16" s="7">
        <v>19.600000000000001</v>
      </c>
      <c r="N16" s="7">
        <f t="shared" si="4"/>
        <v>18.000994530084537</v>
      </c>
      <c r="O16" s="7">
        <f t="shared" si="5"/>
        <v>18.469387755102041</v>
      </c>
      <c r="P16" s="7">
        <f t="shared" si="1"/>
        <v>0.46839322501750402</v>
      </c>
      <c r="Q16" s="10">
        <f t="shared" si="2"/>
        <v>1422.327551020403</v>
      </c>
    </row>
    <row r="17" spans="2:17" x14ac:dyDescent="0.25">
      <c r="B17" s="1">
        <v>5000218168</v>
      </c>
      <c r="C17" s="1">
        <v>114</v>
      </c>
      <c r="D17" s="1">
        <v>1000820</v>
      </c>
      <c r="E17" s="1" t="s">
        <v>174</v>
      </c>
      <c r="F17" s="1"/>
      <c r="G17" s="1">
        <v>946</v>
      </c>
      <c r="H17" s="25">
        <v>150.15</v>
      </c>
      <c r="I17" s="25">
        <v>151</v>
      </c>
      <c r="J17" s="12">
        <f t="shared" si="0"/>
        <v>0.84999999999999432</v>
      </c>
      <c r="K17" s="12">
        <f t="shared" si="3"/>
        <v>804.09999999999468</v>
      </c>
      <c r="L17" s="3">
        <v>20.11</v>
      </c>
      <c r="M17" s="7">
        <v>19.600000000000001</v>
      </c>
      <c r="N17" s="7">
        <f t="shared" si="4"/>
        <v>47.041272998508205</v>
      </c>
      <c r="O17" s="7">
        <f t="shared" si="5"/>
        <v>48.265306122448976</v>
      </c>
      <c r="P17" s="7">
        <f t="shared" si="1"/>
        <v>1.2240331239407709</v>
      </c>
      <c r="Q17" s="10">
        <f t="shared" si="2"/>
        <v>3716.9112244897842</v>
      </c>
    </row>
    <row r="18" spans="2:17" x14ac:dyDescent="0.25">
      <c r="B18" s="1">
        <v>5000218168</v>
      </c>
      <c r="C18" s="1">
        <v>114</v>
      </c>
      <c r="D18" s="1">
        <v>1000820</v>
      </c>
      <c r="E18" s="1" t="s">
        <v>174</v>
      </c>
      <c r="F18" s="1"/>
      <c r="G18" s="1">
        <v>138.05000000000001</v>
      </c>
      <c r="H18" s="25">
        <v>150.15</v>
      </c>
      <c r="I18" s="25">
        <v>151</v>
      </c>
      <c r="J18" s="12">
        <f t="shared" si="0"/>
        <v>0.84999999999999432</v>
      </c>
      <c r="K18" s="12">
        <f t="shared" si="3"/>
        <v>117.34249999999922</v>
      </c>
      <c r="L18" s="3">
        <v>20.11</v>
      </c>
      <c r="M18" s="7">
        <v>19.600000000000001</v>
      </c>
      <c r="N18" s="7">
        <f t="shared" si="4"/>
        <v>6.8647439085032333</v>
      </c>
      <c r="O18" s="7">
        <f t="shared" si="5"/>
        <v>7.0433673469387754</v>
      </c>
      <c r="P18" s="7">
        <f t="shared" si="1"/>
        <v>0.17862343843554207</v>
      </c>
      <c r="Q18" s="10">
        <f t="shared" si="2"/>
        <v>542.40971938775147</v>
      </c>
    </row>
    <row r="19" spans="2:17" x14ac:dyDescent="0.25">
      <c r="B19" s="1">
        <v>5000222850</v>
      </c>
      <c r="C19" s="1">
        <v>114</v>
      </c>
      <c r="D19" s="1">
        <v>1000825</v>
      </c>
      <c r="E19" s="1" t="s">
        <v>18</v>
      </c>
      <c r="F19" s="1"/>
      <c r="G19" s="1">
        <v>861.91</v>
      </c>
      <c r="H19" s="25">
        <v>150.15</v>
      </c>
      <c r="I19" s="25">
        <v>151</v>
      </c>
      <c r="J19" s="12">
        <f t="shared" si="0"/>
        <v>0.84999999999999432</v>
      </c>
      <c r="K19" s="12">
        <f t="shared" si="3"/>
        <v>732.62349999999503</v>
      </c>
      <c r="L19" s="9">
        <v>15.5</v>
      </c>
      <c r="M19" s="9">
        <v>15.09</v>
      </c>
      <c r="N19" s="7">
        <f t="shared" si="4"/>
        <v>55.607096774193543</v>
      </c>
      <c r="O19" s="7">
        <f t="shared" si="5"/>
        <v>57.117958913187543</v>
      </c>
      <c r="P19" s="7">
        <f t="shared" si="1"/>
        <v>1.5108621389939998</v>
      </c>
      <c r="Q19" s="10">
        <f t="shared" si="2"/>
        <v>3536.1728363154566</v>
      </c>
    </row>
    <row r="20" spans="2:17" x14ac:dyDescent="0.25">
      <c r="B20" s="1">
        <v>5000221911</v>
      </c>
      <c r="C20" s="1">
        <v>114</v>
      </c>
      <c r="D20" s="1">
        <v>1000826</v>
      </c>
      <c r="E20" s="1" t="s">
        <v>175</v>
      </c>
      <c r="F20" s="1"/>
      <c r="G20" s="1">
        <v>712.06</v>
      </c>
      <c r="H20" s="25">
        <v>150.15</v>
      </c>
      <c r="I20" s="25">
        <v>151</v>
      </c>
      <c r="J20" s="12">
        <f t="shared" si="0"/>
        <v>0.84999999999999432</v>
      </c>
      <c r="K20" s="12">
        <f t="shared" si="3"/>
        <v>605.25099999999588</v>
      </c>
      <c r="L20" s="9">
        <v>15.5</v>
      </c>
      <c r="M20" s="9">
        <v>15.09</v>
      </c>
      <c r="N20" s="7">
        <f t="shared" si="4"/>
        <v>45.939354838709676</v>
      </c>
      <c r="O20" s="7">
        <f t="shared" si="5"/>
        <v>47.187541418157714</v>
      </c>
      <c r="P20" s="7">
        <f t="shared" si="1"/>
        <v>1.2481865794480385</v>
      </c>
      <c r="Q20" s="10">
        <f t="shared" si="2"/>
        <v>2921.380689198134</v>
      </c>
    </row>
    <row r="21" spans="2:17" x14ac:dyDescent="0.25">
      <c r="B21" s="1">
        <v>5000223194</v>
      </c>
      <c r="C21" s="1">
        <v>114</v>
      </c>
      <c r="D21" s="1">
        <v>1000845</v>
      </c>
      <c r="E21" s="1" t="s">
        <v>176</v>
      </c>
      <c r="F21" s="1"/>
      <c r="G21" s="1">
        <v>35</v>
      </c>
      <c r="H21" s="25">
        <v>150.15</v>
      </c>
      <c r="I21" s="25">
        <v>151</v>
      </c>
      <c r="J21" s="12">
        <f t="shared" si="0"/>
        <v>0.84999999999999432</v>
      </c>
      <c r="K21" s="12">
        <f t="shared" si="3"/>
        <v>29.749999999999801</v>
      </c>
      <c r="L21" s="17">
        <v>17.670000000000002</v>
      </c>
      <c r="M21" s="17">
        <v>17</v>
      </c>
      <c r="N21" s="7">
        <f t="shared" si="4"/>
        <v>1.9807583474816071</v>
      </c>
      <c r="O21" s="7">
        <f t="shared" si="5"/>
        <v>2.0588235294117645</v>
      </c>
      <c r="P21" s="7">
        <f t="shared" si="1"/>
        <v>7.8065181930157435E-2</v>
      </c>
      <c r="Q21" s="10">
        <f t="shared" si="2"/>
        <v>208.29117647058817</v>
      </c>
    </row>
    <row r="22" spans="2:17" x14ac:dyDescent="0.25">
      <c r="B22" s="1">
        <v>5000223194</v>
      </c>
      <c r="C22" s="1">
        <v>114</v>
      </c>
      <c r="D22" s="1">
        <v>1000845</v>
      </c>
      <c r="E22" s="1" t="s">
        <v>176</v>
      </c>
      <c r="F22" s="1"/>
      <c r="G22" s="1">
        <v>4.24</v>
      </c>
      <c r="H22" s="25">
        <v>150.15</v>
      </c>
      <c r="I22" s="25">
        <v>151</v>
      </c>
      <c r="J22" s="12">
        <f t="shared" si="0"/>
        <v>0.84999999999999432</v>
      </c>
      <c r="K22" s="12">
        <f t="shared" si="3"/>
        <v>3.6039999999999761</v>
      </c>
      <c r="L22" s="17">
        <v>17.670000000000002</v>
      </c>
      <c r="M22" s="17">
        <v>17</v>
      </c>
      <c r="N22" s="7">
        <f t="shared" si="4"/>
        <v>0.23995472552348612</v>
      </c>
      <c r="O22" s="7">
        <f t="shared" si="5"/>
        <v>0.24941176470588236</v>
      </c>
      <c r="P22" s="7">
        <f t="shared" si="1"/>
        <v>9.4570391823962374E-3</v>
      </c>
      <c r="Q22" s="10">
        <f t="shared" si="2"/>
        <v>25.232988235294169</v>
      </c>
    </row>
    <row r="23" spans="2:17" x14ac:dyDescent="0.25">
      <c r="B23" s="1">
        <v>5000222857</v>
      </c>
      <c r="C23" s="1">
        <v>114</v>
      </c>
      <c r="D23" s="1">
        <v>1001378</v>
      </c>
      <c r="E23" s="1" t="s">
        <v>177</v>
      </c>
      <c r="F23" s="1"/>
      <c r="G23" s="1">
        <v>486.53</v>
      </c>
      <c r="H23" s="25">
        <v>150.15</v>
      </c>
      <c r="I23" s="25">
        <v>151</v>
      </c>
      <c r="J23" s="12">
        <f t="shared" si="0"/>
        <v>0.84999999999999432</v>
      </c>
      <c r="K23" s="12">
        <f t="shared" si="3"/>
        <v>413.55049999999721</v>
      </c>
      <c r="L23" s="3">
        <v>20.11</v>
      </c>
      <c r="M23" s="7">
        <v>19.600000000000001</v>
      </c>
      <c r="N23" s="7">
        <f t="shared" si="4"/>
        <v>24.193436101442067</v>
      </c>
      <c r="O23" s="7">
        <f t="shared" si="5"/>
        <v>24.822959183673465</v>
      </c>
      <c r="P23" s="7">
        <f t="shared" si="1"/>
        <v>0.62952308223139752</v>
      </c>
      <c r="Q23" s="10">
        <f t="shared" si="2"/>
        <v>1911.6160867346839</v>
      </c>
    </row>
    <row r="24" spans="2:17" x14ac:dyDescent="0.25">
      <c r="B24" s="1">
        <v>5000218168</v>
      </c>
      <c r="C24" s="1">
        <v>114</v>
      </c>
      <c r="D24" s="1">
        <v>1001378</v>
      </c>
      <c r="E24" s="1" t="s">
        <v>177</v>
      </c>
      <c r="F24" s="1"/>
      <c r="G24" s="1">
        <v>550</v>
      </c>
      <c r="H24" s="25">
        <v>150.15</v>
      </c>
      <c r="I24" s="25">
        <v>151</v>
      </c>
      <c r="J24" s="12">
        <f t="shared" si="0"/>
        <v>0.84999999999999432</v>
      </c>
      <c r="K24" s="12">
        <f t="shared" si="3"/>
        <v>467.49999999999687</v>
      </c>
      <c r="L24" s="3">
        <v>20.11</v>
      </c>
      <c r="M24" s="7">
        <v>19.600000000000001</v>
      </c>
      <c r="N24" s="7">
        <f t="shared" si="4"/>
        <v>27.349577324714073</v>
      </c>
      <c r="O24" s="7">
        <f t="shared" si="5"/>
        <v>28.061224489795915</v>
      </c>
      <c r="P24" s="7">
        <f t="shared" si="1"/>
        <v>0.71164716508184256</v>
      </c>
      <c r="Q24" s="10">
        <f t="shared" si="2"/>
        <v>2160.9948979591736</v>
      </c>
    </row>
    <row r="25" spans="2:17" x14ac:dyDescent="0.25">
      <c r="B25" s="1">
        <v>5000218143</v>
      </c>
      <c r="C25" s="1">
        <v>114</v>
      </c>
      <c r="D25" s="1">
        <v>1001378</v>
      </c>
      <c r="E25" s="1" t="s">
        <v>177</v>
      </c>
      <c r="F25" s="1"/>
      <c r="G25" s="1">
        <v>540.30999999999995</v>
      </c>
      <c r="H25" s="25">
        <v>150.15</v>
      </c>
      <c r="I25" s="25">
        <v>151</v>
      </c>
      <c r="J25" s="12">
        <f t="shared" si="0"/>
        <v>0.84999999999999432</v>
      </c>
      <c r="K25" s="12">
        <f t="shared" si="3"/>
        <v>459.2634999999969</v>
      </c>
      <c r="L25" s="3">
        <v>20.11</v>
      </c>
      <c r="M25" s="7">
        <v>19.600000000000001</v>
      </c>
      <c r="N25" s="7">
        <f t="shared" si="4"/>
        <v>26.867727498756835</v>
      </c>
      <c r="O25" s="7">
        <f t="shared" si="5"/>
        <v>27.566836734693872</v>
      </c>
      <c r="P25" s="7">
        <f t="shared" si="1"/>
        <v>0.699109235937037</v>
      </c>
      <c r="Q25" s="10">
        <f t="shared" si="2"/>
        <v>2122.9220969387661</v>
      </c>
    </row>
    <row r="26" spans="2:17" x14ac:dyDescent="0.25">
      <c r="B26" s="1">
        <v>5000218168</v>
      </c>
      <c r="C26" s="1">
        <v>114</v>
      </c>
      <c r="D26" s="1">
        <v>1001378</v>
      </c>
      <c r="E26" s="1" t="s">
        <v>177</v>
      </c>
      <c r="F26" s="1"/>
      <c r="G26" s="1">
        <v>508.93</v>
      </c>
      <c r="H26" s="25">
        <v>150.15</v>
      </c>
      <c r="I26" s="25">
        <v>151</v>
      </c>
      <c r="J26" s="12">
        <f t="shared" si="0"/>
        <v>0.84999999999999432</v>
      </c>
      <c r="K26" s="12">
        <f t="shared" si="3"/>
        <v>432.59049999999712</v>
      </c>
      <c r="L26" s="3">
        <v>20.11</v>
      </c>
      <c r="M26" s="7">
        <v>19.600000000000001</v>
      </c>
      <c r="N26" s="7">
        <f t="shared" si="4"/>
        <v>25.307309796121334</v>
      </c>
      <c r="O26" s="7">
        <f t="shared" si="5"/>
        <v>25.965816326530611</v>
      </c>
      <c r="P26" s="7">
        <f t="shared" si="1"/>
        <v>0.65850653040927654</v>
      </c>
      <c r="Q26" s="10">
        <f t="shared" si="2"/>
        <v>1999.6275153061131</v>
      </c>
    </row>
    <row r="27" spans="2:17" x14ac:dyDescent="0.25">
      <c r="B27" s="1">
        <v>5000218143</v>
      </c>
      <c r="C27" s="1">
        <v>114</v>
      </c>
      <c r="D27" s="1">
        <v>1001380</v>
      </c>
      <c r="E27" s="1" t="s">
        <v>43</v>
      </c>
      <c r="F27" s="1"/>
      <c r="G27" s="1">
        <v>437.44</v>
      </c>
      <c r="H27" s="25">
        <v>150.15</v>
      </c>
      <c r="I27" s="25">
        <v>151</v>
      </c>
      <c r="J27" s="12">
        <f t="shared" si="0"/>
        <v>0.84999999999999432</v>
      </c>
      <c r="K27" s="12">
        <f t="shared" si="3"/>
        <v>371.82399999999751</v>
      </c>
      <c r="L27" s="3">
        <v>20.11</v>
      </c>
      <c r="M27" s="7">
        <v>19.600000000000001</v>
      </c>
      <c r="N27" s="7">
        <f t="shared" si="4"/>
        <v>21.752362008950772</v>
      </c>
      <c r="O27" s="7">
        <f t="shared" si="5"/>
        <v>22.318367346938775</v>
      </c>
      <c r="P27" s="7">
        <f t="shared" si="1"/>
        <v>0.56600533798800257</v>
      </c>
      <c r="Q27" s="10">
        <f t="shared" si="2"/>
        <v>1718.7374693877482</v>
      </c>
    </row>
    <row r="28" spans="2:17" x14ac:dyDescent="0.25">
      <c r="B28" s="1">
        <v>5000218143</v>
      </c>
      <c r="C28" s="1">
        <v>114</v>
      </c>
      <c r="D28" s="1">
        <v>1001380</v>
      </c>
      <c r="E28" s="1" t="s">
        <v>43</v>
      </c>
      <c r="F28" s="1"/>
      <c r="G28" s="1">
        <v>969</v>
      </c>
      <c r="H28" s="25">
        <v>150.15</v>
      </c>
      <c r="I28" s="25">
        <v>151</v>
      </c>
      <c r="J28" s="12">
        <f t="shared" si="0"/>
        <v>0.84999999999999432</v>
      </c>
      <c r="K28" s="12">
        <f t="shared" si="3"/>
        <v>823.64999999999452</v>
      </c>
      <c r="L28" s="3">
        <v>20.11</v>
      </c>
      <c r="M28" s="7">
        <v>19.600000000000001</v>
      </c>
      <c r="N28" s="7">
        <f t="shared" si="4"/>
        <v>48.184982595723525</v>
      </c>
      <c r="O28" s="7">
        <f t="shared" si="5"/>
        <v>49.438775510204081</v>
      </c>
      <c r="P28" s="7">
        <f t="shared" si="1"/>
        <v>1.253792914480556</v>
      </c>
      <c r="Q28" s="10">
        <f t="shared" si="2"/>
        <v>3807.280102040801</v>
      </c>
    </row>
    <row r="29" spans="2:17" x14ac:dyDescent="0.25">
      <c r="B29" s="1">
        <v>5000223768</v>
      </c>
      <c r="C29" s="1">
        <v>114</v>
      </c>
      <c r="D29" s="1">
        <v>1001382</v>
      </c>
      <c r="E29" s="1" t="s">
        <v>178</v>
      </c>
      <c r="F29" s="1"/>
      <c r="G29" s="1">
        <v>500</v>
      </c>
      <c r="H29" s="25">
        <v>150.15</v>
      </c>
      <c r="I29" s="25">
        <v>151</v>
      </c>
      <c r="J29" s="12">
        <f t="shared" si="0"/>
        <v>0.84999999999999432</v>
      </c>
      <c r="K29" s="12">
        <f t="shared" si="3"/>
        <v>424.99999999999716</v>
      </c>
      <c r="L29" s="3">
        <v>20.11</v>
      </c>
      <c r="M29" s="7">
        <v>19.600000000000001</v>
      </c>
      <c r="N29" s="7">
        <f t="shared" si="4"/>
        <v>24.863252113376429</v>
      </c>
      <c r="O29" s="7">
        <f t="shared" si="5"/>
        <v>25.510204081632651</v>
      </c>
      <c r="P29" s="7">
        <f t="shared" si="1"/>
        <v>0.64695196825622148</v>
      </c>
      <c r="Q29" s="10">
        <f t="shared" si="2"/>
        <v>1964.5408163265247</v>
      </c>
    </row>
    <row r="30" spans="2:17" x14ac:dyDescent="0.25">
      <c r="B30" s="1">
        <v>5000223768</v>
      </c>
      <c r="C30" s="1">
        <v>114</v>
      </c>
      <c r="D30" s="1">
        <v>1001382</v>
      </c>
      <c r="E30" s="1" t="s">
        <v>178</v>
      </c>
      <c r="F30" s="1"/>
      <c r="G30" s="1">
        <v>17.64</v>
      </c>
      <c r="H30" s="25">
        <v>150.15</v>
      </c>
      <c r="I30" s="25">
        <v>151</v>
      </c>
      <c r="J30" s="12">
        <f t="shared" si="0"/>
        <v>0.84999999999999432</v>
      </c>
      <c r="K30" s="12">
        <f t="shared" si="3"/>
        <v>14.9939999999999</v>
      </c>
      <c r="L30" s="3">
        <v>20.11</v>
      </c>
      <c r="M30" s="7">
        <v>19.600000000000001</v>
      </c>
      <c r="N30" s="7">
        <f t="shared" si="4"/>
        <v>0.87717553455992048</v>
      </c>
      <c r="O30" s="7">
        <f t="shared" si="5"/>
        <v>0.89999999999999991</v>
      </c>
      <c r="P30" s="7">
        <f t="shared" si="1"/>
        <v>2.2824465440079433E-2</v>
      </c>
      <c r="Q30" s="10">
        <f t="shared" si="2"/>
        <v>69.308999999999614</v>
      </c>
    </row>
    <row r="31" spans="2:17" x14ac:dyDescent="0.25">
      <c r="B31" s="1">
        <v>5000218168</v>
      </c>
      <c r="C31" s="1">
        <v>114</v>
      </c>
      <c r="D31" s="1">
        <v>1001759</v>
      </c>
      <c r="E31" s="1" t="s">
        <v>179</v>
      </c>
      <c r="F31" s="1"/>
      <c r="G31" s="3">
        <v>1209.72</v>
      </c>
      <c r="H31" s="25">
        <v>150.15</v>
      </c>
      <c r="I31" s="25">
        <v>151</v>
      </c>
      <c r="J31" s="12">
        <f t="shared" si="0"/>
        <v>0.84999999999999432</v>
      </c>
      <c r="K31" s="12">
        <f t="shared" si="3"/>
        <v>1028.2619999999931</v>
      </c>
      <c r="L31" s="3">
        <v>20.11</v>
      </c>
      <c r="M31" s="7">
        <v>19.600000000000001</v>
      </c>
      <c r="N31" s="7">
        <f t="shared" si="4"/>
        <v>60.155146693187469</v>
      </c>
      <c r="O31" s="7">
        <f t="shared" si="5"/>
        <v>61.720408163265304</v>
      </c>
      <c r="P31" s="7">
        <f t="shared" si="1"/>
        <v>1.5652614700778358</v>
      </c>
      <c r="Q31" s="10">
        <f t="shared" si="2"/>
        <v>4753.0886326530572</v>
      </c>
    </row>
    <row r="32" spans="2:17" x14ac:dyDescent="0.25">
      <c r="B32" s="1">
        <v>5000218168</v>
      </c>
      <c r="C32" s="1">
        <v>114</v>
      </c>
      <c r="D32" s="1">
        <v>1001759</v>
      </c>
      <c r="E32" s="1" t="s">
        <v>179</v>
      </c>
      <c r="F32" s="1"/>
      <c r="G32" s="1">
        <v>867</v>
      </c>
      <c r="H32" s="25">
        <v>150.15</v>
      </c>
      <c r="I32" s="25">
        <v>151</v>
      </c>
      <c r="J32" s="12">
        <f t="shared" si="0"/>
        <v>0.84999999999999432</v>
      </c>
      <c r="K32" s="12">
        <f t="shared" si="3"/>
        <v>736.94999999999504</v>
      </c>
      <c r="L32" s="3">
        <v>20.11</v>
      </c>
      <c r="M32" s="7">
        <v>19.600000000000001</v>
      </c>
      <c r="N32" s="7">
        <f t="shared" si="4"/>
        <v>43.11287916459473</v>
      </c>
      <c r="O32" s="7">
        <f t="shared" si="5"/>
        <v>44.234693877551017</v>
      </c>
      <c r="P32" s="7">
        <f t="shared" si="1"/>
        <v>1.1218147129562865</v>
      </c>
      <c r="Q32" s="10">
        <f t="shared" si="2"/>
        <v>3406.5137755101891</v>
      </c>
    </row>
    <row r="33" spans="2:17" x14ac:dyDescent="0.25">
      <c r="B33" s="1">
        <v>5000218168</v>
      </c>
      <c r="C33" s="1">
        <v>114</v>
      </c>
      <c r="D33" s="1">
        <v>1001759</v>
      </c>
      <c r="E33" s="1" t="s">
        <v>179</v>
      </c>
      <c r="F33" s="1"/>
      <c r="G33" s="1">
        <v>48.5</v>
      </c>
      <c r="H33" s="25">
        <v>150.15</v>
      </c>
      <c r="I33" s="25">
        <v>151</v>
      </c>
      <c r="J33" s="12">
        <f t="shared" si="0"/>
        <v>0.84999999999999432</v>
      </c>
      <c r="K33" s="12">
        <f t="shared" si="3"/>
        <v>41.224999999999724</v>
      </c>
      <c r="L33" s="3">
        <v>20.11</v>
      </c>
      <c r="M33" s="7">
        <v>19.600000000000001</v>
      </c>
      <c r="N33" s="7">
        <f t="shared" si="4"/>
        <v>2.4117354549975136</v>
      </c>
      <c r="O33" s="7">
        <f t="shared" si="5"/>
        <v>2.4744897959183674</v>
      </c>
      <c r="P33" s="7">
        <f t="shared" si="1"/>
        <v>6.2754340920853746E-2</v>
      </c>
      <c r="Q33" s="10">
        <f t="shared" si="2"/>
        <v>190.56045918367369</v>
      </c>
    </row>
    <row r="34" spans="2:17" x14ac:dyDescent="0.25">
      <c r="B34" s="1">
        <v>5000221910</v>
      </c>
      <c r="C34" s="1">
        <v>114</v>
      </c>
      <c r="D34" s="1">
        <v>1001917</v>
      </c>
      <c r="E34" s="1" t="s">
        <v>16</v>
      </c>
      <c r="F34" s="1"/>
      <c r="G34" s="1">
        <v>500.54</v>
      </c>
      <c r="H34" s="25">
        <v>150.15</v>
      </c>
      <c r="I34" s="25">
        <v>151</v>
      </c>
      <c r="J34" s="12">
        <f t="shared" si="0"/>
        <v>0.84999999999999432</v>
      </c>
      <c r="K34" s="12">
        <f t="shared" si="3"/>
        <v>425.45899999999716</v>
      </c>
      <c r="L34" s="9">
        <v>15.4</v>
      </c>
      <c r="M34" s="9">
        <v>14.43</v>
      </c>
      <c r="N34" s="7">
        <f>G34/L34</f>
        <v>32.502597402597402</v>
      </c>
      <c r="O34" s="7">
        <f>G34/M34</f>
        <v>34.687456687456688</v>
      </c>
      <c r="P34" s="7">
        <f t="shared" si="1"/>
        <v>2.1848592848592858</v>
      </c>
      <c r="Q34" s="10">
        <f>P34*L34*I34</f>
        <v>5080.6717810117834</v>
      </c>
    </row>
    <row r="35" spans="2:17" x14ac:dyDescent="0.25">
      <c r="B35" s="1">
        <v>5000221913</v>
      </c>
      <c r="C35" s="1">
        <v>114</v>
      </c>
      <c r="D35" s="1">
        <v>1001917</v>
      </c>
      <c r="E35" s="1" t="s">
        <v>16</v>
      </c>
      <c r="F35" s="1"/>
      <c r="G35" s="1">
        <v>500.54</v>
      </c>
      <c r="H35" s="25">
        <v>150.15</v>
      </c>
      <c r="I35" s="25">
        <v>151</v>
      </c>
      <c r="J35" s="12">
        <f t="shared" si="0"/>
        <v>0.84999999999999432</v>
      </c>
      <c r="K35" s="12">
        <f t="shared" si="3"/>
        <v>425.45899999999716</v>
      </c>
      <c r="L35" s="9">
        <v>15.4</v>
      </c>
      <c r="M35" s="9">
        <v>14.43</v>
      </c>
      <c r="N35" s="7">
        <f t="shared" ref="N35:N65" si="6">G35/L35</f>
        <v>32.502597402597402</v>
      </c>
      <c r="O35" s="7">
        <f t="shared" ref="O35:O65" si="7">G35/M35</f>
        <v>34.687456687456688</v>
      </c>
      <c r="P35" s="7">
        <f t="shared" si="1"/>
        <v>2.1848592848592858</v>
      </c>
      <c r="Q35" s="10">
        <f t="shared" ref="Q35:Q65" si="8">P35*L35*I35</f>
        <v>5080.6717810117834</v>
      </c>
    </row>
    <row r="36" spans="2:17" x14ac:dyDescent="0.25">
      <c r="B36" s="1">
        <v>5000223309</v>
      </c>
      <c r="C36" s="1">
        <v>114</v>
      </c>
      <c r="D36" s="1">
        <v>1001919</v>
      </c>
      <c r="E36" s="1" t="s">
        <v>180</v>
      </c>
      <c r="F36" s="1"/>
      <c r="G36" s="1">
        <v>55.14</v>
      </c>
      <c r="H36" s="25">
        <v>150.15</v>
      </c>
      <c r="I36" s="25">
        <v>151</v>
      </c>
      <c r="J36" s="12">
        <f t="shared" si="0"/>
        <v>0.84999999999999432</v>
      </c>
      <c r="K36" s="12">
        <f t="shared" si="3"/>
        <v>46.868999999999687</v>
      </c>
      <c r="L36" s="9">
        <v>15.4</v>
      </c>
      <c r="M36" s="9">
        <v>14.43</v>
      </c>
      <c r="N36" s="7">
        <f t="shared" si="6"/>
        <v>3.5805194805194804</v>
      </c>
      <c r="O36" s="7">
        <f t="shared" si="7"/>
        <v>3.8212058212058215</v>
      </c>
      <c r="P36" s="7">
        <f t="shared" si="1"/>
        <v>0.24068634068634109</v>
      </c>
      <c r="Q36" s="10">
        <f t="shared" si="8"/>
        <v>559.69201663201761</v>
      </c>
    </row>
    <row r="37" spans="2:17" x14ac:dyDescent="0.25">
      <c r="B37" s="1">
        <v>5000223309</v>
      </c>
      <c r="C37" s="1">
        <v>114</v>
      </c>
      <c r="D37" s="1">
        <v>1001919</v>
      </c>
      <c r="E37" s="1" t="s">
        <v>180</v>
      </c>
      <c r="F37" s="1"/>
      <c r="G37" s="1">
        <v>500</v>
      </c>
      <c r="H37" s="25">
        <v>150.15</v>
      </c>
      <c r="I37" s="25">
        <v>151</v>
      </c>
      <c r="J37" s="12">
        <f t="shared" si="0"/>
        <v>0.84999999999999432</v>
      </c>
      <c r="K37" s="12">
        <f t="shared" si="3"/>
        <v>424.99999999999716</v>
      </c>
      <c r="L37" s="9">
        <v>15.4</v>
      </c>
      <c r="M37" s="9">
        <v>14.43</v>
      </c>
      <c r="N37" s="7">
        <f t="shared" si="6"/>
        <v>32.467532467532465</v>
      </c>
      <c r="O37" s="7">
        <f t="shared" si="7"/>
        <v>34.650034650034648</v>
      </c>
      <c r="P37" s="7">
        <f t="shared" si="1"/>
        <v>2.1825021825021835</v>
      </c>
      <c r="Q37" s="10">
        <f t="shared" si="8"/>
        <v>5075.1905751905779</v>
      </c>
    </row>
    <row r="38" spans="2:17" x14ac:dyDescent="0.25">
      <c r="B38" s="1">
        <v>5000218168</v>
      </c>
      <c r="C38" s="1">
        <v>114</v>
      </c>
      <c r="D38" s="1">
        <v>1001923</v>
      </c>
      <c r="E38" s="1" t="s">
        <v>181</v>
      </c>
      <c r="F38" s="1"/>
      <c r="G38" s="1">
        <v>477.62</v>
      </c>
      <c r="H38" s="25">
        <v>150.15</v>
      </c>
      <c r="I38" s="25">
        <v>151</v>
      </c>
      <c r="J38" s="12">
        <f t="shared" si="0"/>
        <v>0.84999999999999432</v>
      </c>
      <c r="K38" s="12">
        <f t="shared" si="3"/>
        <v>405.9769999999973</v>
      </c>
      <c r="L38" s="9">
        <v>20.8</v>
      </c>
      <c r="M38" s="9">
        <v>19.559999999999999</v>
      </c>
      <c r="N38" s="7">
        <f t="shared" si="6"/>
        <v>22.962499999999999</v>
      </c>
      <c r="O38" s="7">
        <f t="shared" si="7"/>
        <v>24.418200408997958</v>
      </c>
      <c r="P38" s="7">
        <f t="shared" si="1"/>
        <v>1.4557004089979593</v>
      </c>
      <c r="Q38" s="10">
        <f t="shared" si="8"/>
        <v>4572.0638445807908</v>
      </c>
    </row>
    <row r="39" spans="2:17" x14ac:dyDescent="0.25">
      <c r="B39" s="1">
        <v>5000218168</v>
      </c>
      <c r="C39" s="1">
        <v>114</v>
      </c>
      <c r="D39" s="1">
        <v>1001924</v>
      </c>
      <c r="E39" s="1" t="s">
        <v>182</v>
      </c>
      <c r="F39" s="1"/>
      <c r="G39" s="1">
        <v>550</v>
      </c>
      <c r="H39" s="25">
        <v>150.15</v>
      </c>
      <c r="I39" s="25">
        <v>151</v>
      </c>
      <c r="J39" s="12">
        <f t="shared" si="0"/>
        <v>0.84999999999999432</v>
      </c>
      <c r="K39" s="12">
        <f t="shared" si="3"/>
        <v>467.49999999999687</v>
      </c>
      <c r="L39" s="9">
        <v>20.8</v>
      </c>
      <c r="M39" s="9">
        <v>19.559999999999999</v>
      </c>
      <c r="N39" s="7">
        <f t="shared" si="6"/>
        <v>26.44230769230769</v>
      </c>
      <c r="O39" s="7">
        <f t="shared" si="7"/>
        <v>28.118609406952967</v>
      </c>
      <c r="P39" s="7">
        <f t="shared" si="1"/>
        <v>1.6763017146452768</v>
      </c>
      <c r="Q39" s="10">
        <f t="shared" si="8"/>
        <v>5264.9284253578853</v>
      </c>
    </row>
    <row r="40" spans="2:17" x14ac:dyDescent="0.25">
      <c r="B40" s="1">
        <v>5000218168</v>
      </c>
      <c r="C40" s="1">
        <v>114</v>
      </c>
      <c r="D40" s="1">
        <v>1001926</v>
      </c>
      <c r="E40" s="1" t="s">
        <v>183</v>
      </c>
      <c r="F40" s="1"/>
      <c r="G40" s="1">
        <v>392.13</v>
      </c>
      <c r="H40" s="25">
        <v>150.15</v>
      </c>
      <c r="I40" s="25">
        <v>151</v>
      </c>
      <c r="J40" s="12">
        <f t="shared" si="0"/>
        <v>0.84999999999999432</v>
      </c>
      <c r="K40" s="12">
        <f t="shared" si="3"/>
        <v>333.31049999999777</v>
      </c>
      <c r="L40" s="9">
        <v>20.8</v>
      </c>
      <c r="M40" s="9">
        <v>19.559999999999999</v>
      </c>
      <c r="N40" s="7">
        <f t="shared" si="6"/>
        <v>18.852403846153845</v>
      </c>
      <c r="O40" s="7">
        <f t="shared" si="7"/>
        <v>20.04754601226994</v>
      </c>
      <c r="P40" s="7">
        <f t="shared" si="1"/>
        <v>1.1951421661160957</v>
      </c>
      <c r="Q40" s="10">
        <f t="shared" si="8"/>
        <v>3753.7025153374334</v>
      </c>
    </row>
    <row r="41" spans="2:17" x14ac:dyDescent="0.25">
      <c r="B41" s="1">
        <v>5000218168</v>
      </c>
      <c r="C41" s="1">
        <v>114</v>
      </c>
      <c r="D41" s="1">
        <v>1001926</v>
      </c>
      <c r="E41" s="1" t="s">
        <v>183</v>
      </c>
      <c r="F41" s="1"/>
      <c r="G41" s="1">
        <v>550</v>
      </c>
      <c r="H41" s="25">
        <v>150.15</v>
      </c>
      <c r="I41" s="25">
        <v>151</v>
      </c>
      <c r="J41" s="12">
        <f t="shared" si="0"/>
        <v>0.84999999999999432</v>
      </c>
      <c r="K41" s="12">
        <f t="shared" si="3"/>
        <v>467.49999999999687</v>
      </c>
      <c r="L41" s="9">
        <v>20.8</v>
      </c>
      <c r="M41" s="9">
        <v>19.559999999999999</v>
      </c>
      <c r="N41" s="7">
        <f t="shared" si="6"/>
        <v>26.44230769230769</v>
      </c>
      <c r="O41" s="7">
        <f t="shared" si="7"/>
        <v>28.118609406952967</v>
      </c>
      <c r="P41" s="7">
        <f t="shared" si="1"/>
        <v>1.6763017146452768</v>
      </c>
      <c r="Q41" s="10">
        <f t="shared" si="8"/>
        <v>5264.9284253578853</v>
      </c>
    </row>
    <row r="42" spans="2:17" x14ac:dyDescent="0.25">
      <c r="B42" s="1">
        <v>5000218143</v>
      </c>
      <c r="C42" s="1">
        <v>114</v>
      </c>
      <c r="D42" s="1">
        <v>1002186</v>
      </c>
      <c r="E42" s="1" t="s">
        <v>44</v>
      </c>
      <c r="F42" s="1"/>
      <c r="G42" s="1">
        <v>502.93</v>
      </c>
      <c r="H42" s="25">
        <v>150.15</v>
      </c>
      <c r="I42" s="25">
        <v>151</v>
      </c>
      <c r="J42" s="12">
        <f t="shared" si="0"/>
        <v>0.84999999999999432</v>
      </c>
      <c r="K42" s="12">
        <f t="shared" si="3"/>
        <v>427.49049999999716</v>
      </c>
      <c r="L42" s="9">
        <v>26</v>
      </c>
      <c r="M42" s="9">
        <v>24.67</v>
      </c>
      <c r="N42" s="7">
        <f t="shared" si="6"/>
        <v>19.34346153846154</v>
      </c>
      <c r="O42" s="7">
        <f t="shared" si="7"/>
        <v>20.38629914876368</v>
      </c>
      <c r="P42" s="7">
        <f t="shared" si="1"/>
        <v>1.04283761030214</v>
      </c>
      <c r="Q42" s="10">
        <f t="shared" si="8"/>
        <v>4094.1804580462012</v>
      </c>
    </row>
    <row r="43" spans="2:17" x14ac:dyDescent="0.25">
      <c r="B43" s="1">
        <v>5000218168</v>
      </c>
      <c r="C43" s="1">
        <v>114</v>
      </c>
      <c r="D43" s="1">
        <v>1002188</v>
      </c>
      <c r="E43" s="1" t="s">
        <v>19</v>
      </c>
      <c r="F43" s="1"/>
      <c r="G43" s="3">
        <v>2042.85</v>
      </c>
      <c r="H43" s="25">
        <v>150.15</v>
      </c>
      <c r="I43" s="25">
        <v>151</v>
      </c>
      <c r="J43" s="12">
        <f t="shared" si="0"/>
        <v>0.84999999999999432</v>
      </c>
      <c r="K43" s="12">
        <f t="shared" si="3"/>
        <v>1736.4224999999883</v>
      </c>
      <c r="L43" s="9">
        <v>26</v>
      </c>
      <c r="M43" s="9">
        <v>24.67</v>
      </c>
      <c r="N43" s="7">
        <f t="shared" si="6"/>
        <v>78.571153846153848</v>
      </c>
      <c r="O43" s="7">
        <f t="shared" si="7"/>
        <v>82.807053100932293</v>
      </c>
      <c r="P43" s="7">
        <f t="shared" si="1"/>
        <v>4.2358992547784453</v>
      </c>
      <c r="Q43" s="10">
        <f t="shared" si="8"/>
        <v>16630.140474260177</v>
      </c>
    </row>
    <row r="44" spans="2:17" x14ac:dyDescent="0.25">
      <c r="B44" s="1">
        <v>5000222853</v>
      </c>
      <c r="C44" s="1">
        <v>114</v>
      </c>
      <c r="D44" s="1">
        <v>1002377</v>
      </c>
      <c r="E44" s="1" t="s">
        <v>65</v>
      </c>
      <c r="F44" s="1"/>
      <c r="G44" s="1">
        <v>69.83</v>
      </c>
      <c r="H44" s="25">
        <v>150.15</v>
      </c>
      <c r="I44" s="25">
        <v>151</v>
      </c>
      <c r="J44" s="12">
        <f t="shared" si="0"/>
        <v>0.84999999999999432</v>
      </c>
      <c r="K44" s="12">
        <f t="shared" si="3"/>
        <v>59.355499999999601</v>
      </c>
      <c r="L44" s="3">
        <v>20.11</v>
      </c>
      <c r="M44" s="7">
        <v>19.600000000000001</v>
      </c>
      <c r="N44" s="7">
        <f t="shared" si="6"/>
        <v>3.472401790154152</v>
      </c>
      <c r="O44" s="7">
        <f t="shared" si="7"/>
        <v>3.5627551020408159</v>
      </c>
      <c r="P44" s="7">
        <f t="shared" si="1"/>
        <v>9.0353311886663956E-2</v>
      </c>
      <c r="Q44" s="10">
        <f t="shared" si="8"/>
        <v>274.36777040816258</v>
      </c>
    </row>
    <row r="45" spans="2:17" x14ac:dyDescent="0.25">
      <c r="B45" s="1">
        <v>5000222853</v>
      </c>
      <c r="C45" s="1">
        <v>114</v>
      </c>
      <c r="D45" s="1">
        <v>1002377</v>
      </c>
      <c r="E45" s="1" t="s">
        <v>65</v>
      </c>
      <c r="F45" s="1"/>
      <c r="G45" s="1">
        <v>494</v>
      </c>
      <c r="H45" s="25">
        <v>150.15</v>
      </c>
      <c r="I45" s="25">
        <v>151</v>
      </c>
      <c r="J45" s="12">
        <f t="shared" si="0"/>
        <v>0.84999999999999432</v>
      </c>
      <c r="K45" s="12">
        <f t="shared" si="3"/>
        <v>419.89999999999719</v>
      </c>
      <c r="L45" s="3">
        <v>20.11</v>
      </c>
      <c r="M45" s="7">
        <v>19.600000000000001</v>
      </c>
      <c r="N45" s="7">
        <f t="shared" si="6"/>
        <v>24.564893088015914</v>
      </c>
      <c r="O45" s="7">
        <f t="shared" si="7"/>
        <v>25.204081632653061</v>
      </c>
      <c r="P45" s="7">
        <f t="shared" si="1"/>
        <v>0.6391885446371468</v>
      </c>
      <c r="Q45" s="10">
        <f t="shared" si="8"/>
        <v>1940.9663265306065</v>
      </c>
    </row>
    <row r="46" spans="2:17" x14ac:dyDescent="0.25">
      <c r="B46" s="1">
        <v>5000217679</v>
      </c>
      <c r="C46" s="1">
        <v>114</v>
      </c>
      <c r="D46" s="1">
        <v>1002377</v>
      </c>
      <c r="E46" s="1" t="s">
        <v>65</v>
      </c>
      <c r="F46" s="1"/>
      <c r="G46" s="1">
        <v>481.69</v>
      </c>
      <c r="H46" s="25">
        <v>150.15</v>
      </c>
      <c r="I46" s="25">
        <v>151</v>
      </c>
      <c r="J46" s="12">
        <f t="shared" si="0"/>
        <v>0.84999999999999432</v>
      </c>
      <c r="K46" s="12">
        <f t="shared" si="3"/>
        <v>409.43649999999724</v>
      </c>
      <c r="L46" s="3">
        <v>20.11</v>
      </c>
      <c r="M46" s="7">
        <v>19.600000000000001</v>
      </c>
      <c r="N46" s="7">
        <f t="shared" si="6"/>
        <v>23.952759820984586</v>
      </c>
      <c r="O46" s="7">
        <f t="shared" si="7"/>
        <v>24.576020408163263</v>
      </c>
      <c r="P46" s="7">
        <f t="shared" si="1"/>
        <v>0.62326058717867738</v>
      </c>
      <c r="Q46" s="10">
        <f t="shared" si="8"/>
        <v>1892.5993316326435</v>
      </c>
    </row>
    <row r="47" spans="2:17" x14ac:dyDescent="0.25">
      <c r="B47" s="1">
        <v>5000217679</v>
      </c>
      <c r="C47" s="1">
        <v>114</v>
      </c>
      <c r="D47" s="1">
        <v>1002377</v>
      </c>
      <c r="E47" s="1" t="s">
        <v>65</v>
      </c>
      <c r="F47" s="1"/>
      <c r="G47" s="1">
        <v>36.130000000000003</v>
      </c>
      <c r="H47" s="25">
        <v>150.15</v>
      </c>
      <c r="I47" s="25">
        <v>151</v>
      </c>
      <c r="J47" s="12">
        <f t="shared" si="0"/>
        <v>0.84999999999999432</v>
      </c>
      <c r="K47" s="12">
        <f t="shared" si="3"/>
        <v>30.710499999999797</v>
      </c>
      <c r="L47" s="3">
        <v>20.11</v>
      </c>
      <c r="M47" s="7">
        <v>19.600000000000001</v>
      </c>
      <c r="N47" s="7">
        <f t="shared" si="6"/>
        <v>1.796618597712581</v>
      </c>
      <c r="O47" s="7">
        <f t="shared" si="7"/>
        <v>1.8433673469387755</v>
      </c>
      <c r="P47" s="7">
        <f t="shared" si="1"/>
        <v>4.674874922619443E-2</v>
      </c>
      <c r="Q47" s="10">
        <f t="shared" si="8"/>
        <v>141.95771938775425</v>
      </c>
    </row>
    <row r="48" spans="2:17" x14ac:dyDescent="0.25">
      <c r="B48" s="1">
        <v>5000218168</v>
      </c>
      <c r="C48" s="1">
        <v>114</v>
      </c>
      <c r="D48" s="1">
        <v>1002379</v>
      </c>
      <c r="E48" s="1" t="s">
        <v>66</v>
      </c>
      <c r="F48" s="1"/>
      <c r="G48" s="1">
        <v>503.32</v>
      </c>
      <c r="H48" s="25">
        <v>150.15</v>
      </c>
      <c r="I48" s="25">
        <v>151</v>
      </c>
      <c r="J48" s="12">
        <f t="shared" si="0"/>
        <v>0.84999999999999432</v>
      </c>
      <c r="K48" s="12">
        <f t="shared" si="3"/>
        <v>427.82199999999716</v>
      </c>
      <c r="L48" s="9">
        <v>15.5</v>
      </c>
      <c r="M48" s="9">
        <v>15.09</v>
      </c>
      <c r="N48" s="7">
        <f t="shared" si="6"/>
        <v>32.472258064516126</v>
      </c>
      <c r="O48" s="7">
        <f t="shared" si="7"/>
        <v>33.354539430086149</v>
      </c>
      <c r="P48" s="7">
        <f t="shared" si="1"/>
        <v>0.88228136557002301</v>
      </c>
      <c r="Q48" s="10">
        <f t="shared" si="8"/>
        <v>2064.9795361166389</v>
      </c>
    </row>
    <row r="49" spans="2:17" x14ac:dyDescent="0.25">
      <c r="B49" s="1">
        <v>5000218168</v>
      </c>
      <c r="C49" s="1">
        <v>114</v>
      </c>
      <c r="D49" s="1">
        <v>1002379</v>
      </c>
      <c r="E49" s="1" t="s">
        <v>66</v>
      </c>
      <c r="F49" s="1"/>
      <c r="G49" s="1">
        <v>510</v>
      </c>
      <c r="H49" s="25">
        <v>150.15</v>
      </c>
      <c r="I49" s="25">
        <v>151</v>
      </c>
      <c r="J49" s="12">
        <f t="shared" si="0"/>
        <v>0.84999999999999432</v>
      </c>
      <c r="K49" s="12">
        <f t="shared" si="3"/>
        <v>433.4999999999971</v>
      </c>
      <c r="L49" s="9">
        <v>15.5</v>
      </c>
      <c r="M49" s="9">
        <v>15.09</v>
      </c>
      <c r="N49" s="7">
        <f t="shared" si="6"/>
        <v>32.903225806451616</v>
      </c>
      <c r="O49" s="7">
        <f t="shared" si="7"/>
        <v>33.79721669980119</v>
      </c>
      <c r="P49" s="7">
        <f t="shared" si="1"/>
        <v>0.89399089334957438</v>
      </c>
      <c r="Q49" s="10">
        <f t="shared" si="8"/>
        <v>2092.3856858846789</v>
      </c>
    </row>
    <row r="50" spans="2:17" x14ac:dyDescent="0.25">
      <c r="B50" s="1">
        <v>5000218168</v>
      </c>
      <c r="C50" s="1">
        <v>114</v>
      </c>
      <c r="D50" s="1">
        <v>1002379</v>
      </c>
      <c r="E50" s="1" t="s">
        <v>66</v>
      </c>
      <c r="F50" s="1"/>
      <c r="G50" s="1">
        <v>297.83999999999997</v>
      </c>
      <c r="H50" s="25">
        <v>150.15</v>
      </c>
      <c r="I50" s="25">
        <v>151</v>
      </c>
      <c r="J50" s="12">
        <f t="shared" si="0"/>
        <v>0.84999999999999432</v>
      </c>
      <c r="K50" s="12">
        <f t="shared" si="3"/>
        <v>253.16399999999828</v>
      </c>
      <c r="L50" s="9">
        <v>15.5</v>
      </c>
      <c r="M50" s="9">
        <v>15.09</v>
      </c>
      <c r="N50" s="7">
        <f t="shared" si="6"/>
        <v>19.215483870967741</v>
      </c>
      <c r="O50" s="7">
        <f t="shared" si="7"/>
        <v>19.737574552683895</v>
      </c>
      <c r="P50" s="7">
        <f t="shared" si="1"/>
        <v>0.52209068171615414</v>
      </c>
      <c r="Q50" s="10">
        <f t="shared" si="8"/>
        <v>1221.9532405566588</v>
      </c>
    </row>
    <row r="51" spans="2:17" x14ac:dyDescent="0.25">
      <c r="B51" s="1">
        <v>5000222854</v>
      </c>
      <c r="C51" s="1">
        <v>114</v>
      </c>
      <c r="D51" s="1">
        <v>1002444</v>
      </c>
      <c r="E51" s="1" t="s">
        <v>114</v>
      </c>
      <c r="F51" s="1"/>
      <c r="G51" s="1">
        <v>187.74</v>
      </c>
      <c r="H51" s="25">
        <v>150.15</v>
      </c>
      <c r="I51" s="25">
        <v>151</v>
      </c>
      <c r="J51" s="12">
        <f t="shared" si="0"/>
        <v>0.84999999999999432</v>
      </c>
      <c r="K51" s="12">
        <f t="shared" si="3"/>
        <v>159.57899999999893</v>
      </c>
      <c r="L51" s="3">
        <v>20.11</v>
      </c>
      <c r="M51" s="7">
        <v>19.600000000000001</v>
      </c>
      <c r="N51" s="7">
        <f t="shared" si="6"/>
        <v>9.3356539035305826</v>
      </c>
      <c r="O51" s="7">
        <f t="shared" si="7"/>
        <v>9.5785714285714292</v>
      </c>
      <c r="P51" s="7">
        <f t="shared" si="1"/>
        <v>0.24291752504084663</v>
      </c>
      <c r="Q51" s="10">
        <f t="shared" si="8"/>
        <v>737.64578571428524</v>
      </c>
    </row>
    <row r="52" spans="2:17" x14ac:dyDescent="0.25">
      <c r="B52" s="1">
        <v>5000222856</v>
      </c>
      <c r="C52" s="1">
        <v>114</v>
      </c>
      <c r="D52" s="1">
        <v>1002444</v>
      </c>
      <c r="E52" s="1" t="s">
        <v>114</v>
      </c>
      <c r="F52" s="1"/>
      <c r="G52" s="1">
        <v>501.8</v>
      </c>
      <c r="H52" s="25">
        <v>150.15</v>
      </c>
      <c r="I52" s="25">
        <v>151</v>
      </c>
      <c r="J52" s="12">
        <f t="shared" si="0"/>
        <v>0.84999999999999432</v>
      </c>
      <c r="K52" s="12">
        <f t="shared" si="3"/>
        <v>426.52999999999713</v>
      </c>
      <c r="L52" s="3">
        <v>20.11</v>
      </c>
      <c r="M52" s="7">
        <v>19.600000000000001</v>
      </c>
      <c r="N52" s="7">
        <f t="shared" si="6"/>
        <v>24.952759820984586</v>
      </c>
      <c r="O52" s="7">
        <f t="shared" si="7"/>
        <v>25.602040816326529</v>
      </c>
      <c r="P52" s="7">
        <f t="shared" si="1"/>
        <v>0.64928099534194317</v>
      </c>
      <c r="Q52" s="10">
        <f t="shared" si="8"/>
        <v>1971.613163265298</v>
      </c>
    </row>
    <row r="53" spans="2:17" x14ac:dyDescent="0.25">
      <c r="B53" s="1">
        <v>5000222851</v>
      </c>
      <c r="C53" s="1">
        <v>114</v>
      </c>
      <c r="D53" s="1">
        <v>1002446</v>
      </c>
      <c r="E53" s="1" t="s">
        <v>113</v>
      </c>
      <c r="F53" s="1"/>
      <c r="G53" s="1">
        <v>475.58</v>
      </c>
      <c r="H53" s="25">
        <v>150.15</v>
      </c>
      <c r="I53" s="25">
        <v>151</v>
      </c>
      <c r="J53" s="12">
        <f t="shared" si="0"/>
        <v>0.84999999999999432</v>
      </c>
      <c r="K53" s="12">
        <f t="shared" si="3"/>
        <v>404.24299999999727</v>
      </c>
      <c r="L53" s="9">
        <v>15.5</v>
      </c>
      <c r="M53" s="9">
        <v>15.09</v>
      </c>
      <c r="N53" s="7">
        <f t="shared" si="6"/>
        <v>30.682580645161288</v>
      </c>
      <c r="O53" s="7">
        <f t="shared" si="7"/>
        <v>31.516235917826375</v>
      </c>
      <c r="P53" s="7">
        <f t="shared" si="1"/>
        <v>0.83365527266508721</v>
      </c>
      <c r="Q53" s="10">
        <f t="shared" si="8"/>
        <v>1951.1701656726366</v>
      </c>
    </row>
    <row r="54" spans="2:17" x14ac:dyDescent="0.25">
      <c r="B54" s="1">
        <v>5000221913</v>
      </c>
      <c r="C54" s="1">
        <v>114</v>
      </c>
      <c r="D54" s="1">
        <v>1002447</v>
      </c>
      <c r="E54" s="1" t="s">
        <v>184</v>
      </c>
      <c r="F54" s="1"/>
      <c r="G54" s="1">
        <v>527.16999999999996</v>
      </c>
      <c r="H54" s="25">
        <v>150.15</v>
      </c>
      <c r="I54" s="25">
        <v>151</v>
      </c>
      <c r="J54" s="12">
        <f t="shared" si="0"/>
        <v>0.84999999999999432</v>
      </c>
      <c r="K54" s="12">
        <f t="shared" si="3"/>
        <v>448.09449999999697</v>
      </c>
      <c r="L54" s="9">
        <v>15.4</v>
      </c>
      <c r="M54" s="9">
        <v>14.43</v>
      </c>
      <c r="N54" s="7">
        <f t="shared" si="6"/>
        <v>34.231818181818177</v>
      </c>
      <c r="O54" s="7">
        <f t="shared" si="7"/>
        <v>36.53291753291753</v>
      </c>
      <c r="P54" s="7">
        <f t="shared" si="1"/>
        <v>2.3010993510993529</v>
      </c>
      <c r="Q54" s="10">
        <f t="shared" si="8"/>
        <v>5350.9764310464352</v>
      </c>
    </row>
    <row r="55" spans="2:17" x14ac:dyDescent="0.25">
      <c r="B55" s="1">
        <v>5000221910</v>
      </c>
      <c r="C55" s="1">
        <v>114</v>
      </c>
      <c r="D55" s="1">
        <v>1002447</v>
      </c>
      <c r="E55" s="1" t="s">
        <v>184</v>
      </c>
      <c r="F55" s="1"/>
      <c r="G55" s="1">
        <v>17.170000000000002</v>
      </c>
      <c r="H55" s="25">
        <v>150.15</v>
      </c>
      <c r="I55" s="25">
        <v>151</v>
      </c>
      <c r="J55" s="12">
        <f t="shared" si="0"/>
        <v>0.84999999999999432</v>
      </c>
      <c r="K55" s="12">
        <f t="shared" si="3"/>
        <v>14.594499999999904</v>
      </c>
      <c r="L55" s="9">
        <v>15.4</v>
      </c>
      <c r="M55" s="9">
        <v>14.43</v>
      </c>
      <c r="N55" s="7">
        <f t="shared" si="6"/>
        <v>1.1149350649350651</v>
      </c>
      <c r="O55" s="7">
        <f t="shared" si="7"/>
        <v>1.1898821898821901</v>
      </c>
      <c r="P55" s="7">
        <f t="shared" si="1"/>
        <v>7.4947124947124966E-2</v>
      </c>
      <c r="Q55" s="10">
        <f t="shared" si="8"/>
        <v>174.28204435204441</v>
      </c>
    </row>
    <row r="56" spans="2:17" x14ac:dyDescent="0.25">
      <c r="B56" s="1">
        <v>5000221910</v>
      </c>
      <c r="C56" s="1">
        <v>114</v>
      </c>
      <c r="D56" s="1">
        <v>1002447</v>
      </c>
      <c r="E56" s="1" t="s">
        <v>184</v>
      </c>
      <c r="F56" s="1"/>
      <c r="G56" s="1">
        <v>510</v>
      </c>
      <c r="H56" s="25">
        <v>150.15</v>
      </c>
      <c r="I56" s="25">
        <v>151</v>
      </c>
      <c r="J56" s="12">
        <f t="shared" si="0"/>
        <v>0.84999999999999432</v>
      </c>
      <c r="K56" s="12">
        <f t="shared" si="3"/>
        <v>433.4999999999971</v>
      </c>
      <c r="L56" s="9">
        <v>15.4</v>
      </c>
      <c r="M56" s="9">
        <v>14.43</v>
      </c>
      <c r="N56" s="7">
        <f t="shared" si="6"/>
        <v>33.116883116883116</v>
      </c>
      <c r="O56" s="7">
        <f t="shared" si="7"/>
        <v>35.343035343035346</v>
      </c>
      <c r="P56" s="7">
        <f t="shared" si="1"/>
        <v>2.2261522261522302</v>
      </c>
      <c r="Q56" s="10">
        <f t="shared" si="8"/>
        <v>5176.6943866943966</v>
      </c>
    </row>
    <row r="57" spans="2:17" x14ac:dyDescent="0.25">
      <c r="B57" s="1">
        <v>5000217385</v>
      </c>
      <c r="C57" s="1">
        <v>114</v>
      </c>
      <c r="D57" s="1">
        <v>1002665</v>
      </c>
      <c r="E57" s="1" t="s">
        <v>185</v>
      </c>
      <c r="F57" s="1"/>
      <c r="G57" s="1">
        <v>483.05</v>
      </c>
      <c r="H57" s="25">
        <v>150.15</v>
      </c>
      <c r="I57" s="25">
        <v>151</v>
      </c>
      <c r="J57" s="12">
        <f t="shared" si="0"/>
        <v>0.84999999999999432</v>
      </c>
      <c r="K57" s="12">
        <f t="shared" si="3"/>
        <v>410.59249999999724</v>
      </c>
      <c r="L57" s="17">
        <v>17.670000000000002</v>
      </c>
      <c r="M57" s="17">
        <v>17</v>
      </c>
      <c r="N57" s="7">
        <f t="shared" si="6"/>
        <v>27.337294850028293</v>
      </c>
      <c r="O57" s="7">
        <f t="shared" si="7"/>
        <v>28.414705882352941</v>
      </c>
      <c r="P57" s="7">
        <f t="shared" si="1"/>
        <v>1.0774110323246475</v>
      </c>
      <c r="Q57" s="10">
        <f t="shared" si="8"/>
        <v>2874.7157941176552</v>
      </c>
    </row>
    <row r="58" spans="2:17" x14ac:dyDescent="0.25">
      <c r="B58" s="1">
        <v>5000217385</v>
      </c>
      <c r="C58" s="1">
        <v>114</v>
      </c>
      <c r="D58" s="1">
        <v>1002667</v>
      </c>
      <c r="E58" s="1" t="s">
        <v>186</v>
      </c>
      <c r="F58" s="1"/>
      <c r="G58" s="1">
        <v>35.96</v>
      </c>
      <c r="H58" s="25">
        <v>150.15</v>
      </c>
      <c r="I58" s="25">
        <v>151</v>
      </c>
      <c r="J58" s="12">
        <f t="shared" si="0"/>
        <v>0.84999999999999432</v>
      </c>
      <c r="K58" s="12">
        <f t="shared" si="3"/>
        <v>30.565999999999796</v>
      </c>
      <c r="L58" s="17">
        <v>17.670000000000002</v>
      </c>
      <c r="M58" s="17">
        <v>17</v>
      </c>
      <c r="N58" s="7">
        <f t="shared" si="6"/>
        <v>2.0350877192982453</v>
      </c>
      <c r="O58" s="7">
        <f t="shared" si="7"/>
        <v>2.1152941176470588</v>
      </c>
      <c r="P58" s="7">
        <f t="shared" si="1"/>
        <v>8.020639834881349E-2</v>
      </c>
      <c r="Q58" s="10">
        <f t="shared" si="8"/>
        <v>214.00430588235369</v>
      </c>
    </row>
    <row r="59" spans="2:17" x14ac:dyDescent="0.25">
      <c r="B59" s="1">
        <v>5000217385</v>
      </c>
      <c r="C59" s="1">
        <v>114</v>
      </c>
      <c r="D59" s="1">
        <v>1002667</v>
      </c>
      <c r="E59" s="1" t="s">
        <v>186</v>
      </c>
      <c r="F59" s="1"/>
      <c r="G59" s="1">
        <v>500</v>
      </c>
      <c r="H59" s="25">
        <v>150.15</v>
      </c>
      <c r="I59" s="25">
        <v>151</v>
      </c>
      <c r="J59" s="12">
        <f t="shared" si="0"/>
        <v>0.84999999999999432</v>
      </c>
      <c r="K59" s="12">
        <f t="shared" si="3"/>
        <v>424.99999999999716</v>
      </c>
      <c r="L59" s="17">
        <v>17.670000000000002</v>
      </c>
      <c r="M59" s="17">
        <v>17</v>
      </c>
      <c r="N59" s="7">
        <f t="shared" si="6"/>
        <v>28.296547821165817</v>
      </c>
      <c r="O59" s="7">
        <f t="shared" si="7"/>
        <v>29.411764705882351</v>
      </c>
      <c r="P59" s="7">
        <f t="shared" si="1"/>
        <v>1.1152168847165349</v>
      </c>
      <c r="Q59" s="10">
        <f t="shared" si="8"/>
        <v>2975.5882352941171</v>
      </c>
    </row>
    <row r="60" spans="2:17" x14ac:dyDescent="0.25">
      <c r="B60" s="1">
        <v>5000217385</v>
      </c>
      <c r="C60" s="1">
        <v>114</v>
      </c>
      <c r="D60" s="1">
        <v>1002668</v>
      </c>
      <c r="E60" s="1" t="s">
        <v>187</v>
      </c>
      <c r="F60" s="1"/>
      <c r="G60" s="1">
        <v>490.67</v>
      </c>
      <c r="H60" s="25">
        <v>150.15</v>
      </c>
      <c r="I60" s="25">
        <v>151</v>
      </c>
      <c r="J60" s="12">
        <f t="shared" si="0"/>
        <v>0.84999999999999432</v>
      </c>
      <c r="K60" s="12">
        <f t="shared" si="3"/>
        <v>417.06949999999722</v>
      </c>
      <c r="L60" s="17">
        <v>17.670000000000002</v>
      </c>
      <c r="M60" s="17">
        <v>17</v>
      </c>
      <c r="N60" s="7">
        <f t="shared" si="6"/>
        <v>27.768534238822863</v>
      </c>
      <c r="O60" s="7">
        <f t="shared" si="7"/>
        <v>28.862941176470589</v>
      </c>
      <c r="P60" s="7">
        <f t="shared" si="1"/>
        <v>1.0944069376477259</v>
      </c>
      <c r="Q60" s="10">
        <f t="shared" si="8"/>
        <v>2920.0637588235331</v>
      </c>
    </row>
    <row r="61" spans="2:17" x14ac:dyDescent="0.25">
      <c r="B61" s="1">
        <v>5000221869</v>
      </c>
      <c r="C61" s="1">
        <v>114</v>
      </c>
      <c r="D61" s="1">
        <v>1002675</v>
      </c>
      <c r="E61" s="1" t="s">
        <v>188</v>
      </c>
      <c r="F61" s="1"/>
      <c r="G61" s="1">
        <v>500</v>
      </c>
      <c r="H61" s="25">
        <v>150.15</v>
      </c>
      <c r="I61" s="25">
        <v>151</v>
      </c>
      <c r="J61" s="12">
        <f t="shared" si="0"/>
        <v>0.84999999999999432</v>
      </c>
      <c r="K61" s="12">
        <f t="shared" si="3"/>
        <v>424.99999999999716</v>
      </c>
      <c r="L61" s="9">
        <v>15.4</v>
      </c>
      <c r="M61" s="9">
        <v>14.43</v>
      </c>
      <c r="N61" s="7">
        <f t="shared" si="6"/>
        <v>32.467532467532465</v>
      </c>
      <c r="O61" s="7">
        <f t="shared" si="7"/>
        <v>34.650034650034648</v>
      </c>
      <c r="P61" s="7">
        <f t="shared" si="1"/>
        <v>2.1825021825021835</v>
      </c>
      <c r="Q61" s="10">
        <f t="shared" si="8"/>
        <v>5075.1905751905779</v>
      </c>
    </row>
    <row r="62" spans="2:17" x14ac:dyDescent="0.25">
      <c r="B62" s="1">
        <v>5000221869</v>
      </c>
      <c r="C62" s="1">
        <v>114</v>
      </c>
      <c r="D62" s="1">
        <v>1002675</v>
      </c>
      <c r="E62" s="1" t="s">
        <v>188</v>
      </c>
      <c r="F62" s="1"/>
      <c r="G62" s="1">
        <v>13.86</v>
      </c>
      <c r="H62" s="25">
        <v>150.15</v>
      </c>
      <c r="I62" s="25">
        <v>151</v>
      </c>
      <c r="J62" s="12">
        <f t="shared" si="0"/>
        <v>0.84999999999999432</v>
      </c>
      <c r="K62" s="12">
        <f t="shared" si="3"/>
        <v>11.780999999999921</v>
      </c>
      <c r="L62" s="9">
        <v>15.4</v>
      </c>
      <c r="M62" s="9">
        <v>14.43</v>
      </c>
      <c r="N62" s="7">
        <f t="shared" si="6"/>
        <v>0.89999999999999991</v>
      </c>
      <c r="O62" s="7">
        <f t="shared" si="7"/>
        <v>0.96049896049896044</v>
      </c>
      <c r="P62" s="7">
        <f t="shared" si="1"/>
        <v>6.049896049896053E-2</v>
      </c>
      <c r="Q62" s="10">
        <f t="shared" si="8"/>
        <v>140.68428274428283</v>
      </c>
    </row>
    <row r="63" spans="2:17" x14ac:dyDescent="0.25">
      <c r="B63" s="1">
        <v>5000221869</v>
      </c>
      <c r="C63" s="1">
        <v>114</v>
      </c>
      <c r="D63" s="1">
        <v>1002676</v>
      </c>
      <c r="E63" s="1" t="s">
        <v>189</v>
      </c>
      <c r="F63" s="1"/>
      <c r="G63" s="1">
        <v>497.32</v>
      </c>
      <c r="H63" s="25">
        <v>150.15</v>
      </c>
      <c r="I63" s="25">
        <v>151</v>
      </c>
      <c r="J63" s="12">
        <f t="shared" si="0"/>
        <v>0.84999999999999432</v>
      </c>
      <c r="K63" s="12">
        <f t="shared" si="3"/>
        <v>422.72199999999719</v>
      </c>
      <c r="L63" s="9">
        <v>15.4</v>
      </c>
      <c r="M63" s="9">
        <v>14.43</v>
      </c>
      <c r="N63" s="7">
        <f t="shared" si="6"/>
        <v>32.293506493506491</v>
      </c>
      <c r="O63" s="7">
        <f t="shared" si="7"/>
        <v>34.464310464310465</v>
      </c>
      <c r="P63" s="7">
        <f t="shared" si="1"/>
        <v>2.1708039708039735</v>
      </c>
      <c r="Q63" s="10">
        <f t="shared" si="8"/>
        <v>5047.9875537075604</v>
      </c>
    </row>
    <row r="64" spans="2:17" x14ac:dyDescent="0.25">
      <c r="B64" s="1">
        <v>5000221869</v>
      </c>
      <c r="C64" s="1">
        <v>114</v>
      </c>
      <c r="D64" s="1">
        <v>1002677</v>
      </c>
      <c r="E64" s="1" t="s">
        <v>190</v>
      </c>
      <c r="F64" s="1"/>
      <c r="G64" s="1">
        <v>507.49</v>
      </c>
      <c r="H64" s="25">
        <v>150.15</v>
      </c>
      <c r="I64" s="25">
        <v>151</v>
      </c>
      <c r="J64" s="12">
        <f t="shared" si="0"/>
        <v>0.84999999999999432</v>
      </c>
      <c r="K64" s="12">
        <f t="shared" si="3"/>
        <v>431.36649999999713</v>
      </c>
      <c r="L64" s="9">
        <v>15.4</v>
      </c>
      <c r="M64" s="9">
        <v>14.43</v>
      </c>
      <c r="N64" s="7">
        <f t="shared" si="6"/>
        <v>32.953896103896106</v>
      </c>
      <c r="O64" s="7">
        <f t="shared" si="7"/>
        <v>35.169092169092167</v>
      </c>
      <c r="P64" s="7">
        <f t="shared" si="1"/>
        <v>2.2151960651960607</v>
      </c>
      <c r="Q64" s="10">
        <f t="shared" si="8"/>
        <v>5151.2169300069199</v>
      </c>
    </row>
    <row r="65" spans="1:17" x14ac:dyDescent="0.25">
      <c r="B65" s="1">
        <v>5000220671</v>
      </c>
      <c r="C65" s="1">
        <v>114</v>
      </c>
      <c r="D65" s="1">
        <v>1002714</v>
      </c>
      <c r="E65" s="1" t="s">
        <v>191</v>
      </c>
      <c r="F65" s="1"/>
      <c r="G65" s="1">
        <v>455.87</v>
      </c>
      <c r="H65" s="25">
        <v>150.15</v>
      </c>
      <c r="I65" s="25">
        <v>151</v>
      </c>
      <c r="J65" s="12">
        <f t="shared" si="0"/>
        <v>0.84999999999999432</v>
      </c>
      <c r="K65" s="12">
        <f t="shared" si="3"/>
        <v>387.48949999999741</v>
      </c>
      <c r="L65" s="9">
        <v>15.4</v>
      </c>
      <c r="M65" s="9">
        <v>14.43</v>
      </c>
      <c r="N65" s="7">
        <f t="shared" si="6"/>
        <v>29.601948051948053</v>
      </c>
      <c r="O65" s="7">
        <f t="shared" si="7"/>
        <v>31.591822591822591</v>
      </c>
      <c r="P65" s="7">
        <f t="shared" si="1"/>
        <v>1.9898745398745383</v>
      </c>
      <c r="Q65" s="10">
        <f t="shared" si="8"/>
        <v>4627.2542550242515</v>
      </c>
    </row>
    <row r="66" spans="1:17" x14ac:dyDescent="0.25">
      <c r="G66" s="20"/>
    </row>
    <row r="67" spans="1:17" x14ac:dyDescent="0.25">
      <c r="E67" s="6" t="s">
        <v>58</v>
      </c>
      <c r="G67" s="20">
        <v>34014.54</v>
      </c>
      <c r="K67" s="35">
        <f>SUM(K3:K65)</f>
        <v>28912.358999999797</v>
      </c>
      <c r="Q67" s="35">
        <f>SUM(Q3:Q65)</f>
        <v>204583.24707911114</v>
      </c>
    </row>
    <row r="69" spans="1:17" x14ac:dyDescent="0.25">
      <c r="E69" s="5" t="s">
        <v>252</v>
      </c>
      <c r="F69" s="1"/>
      <c r="G69" s="10">
        <f>G67</f>
        <v>34014.54</v>
      </c>
      <c r="K69" s="5" t="s">
        <v>63</v>
      </c>
      <c r="N69" s="6">
        <f>K67+Q67</f>
        <v>233495.60607911093</v>
      </c>
    </row>
    <row r="70" spans="1:17" x14ac:dyDescent="0.25">
      <c r="E70" s="1" t="s">
        <v>253</v>
      </c>
      <c r="F70" s="1"/>
      <c r="G70" s="1">
        <v>152.6</v>
      </c>
    </row>
    <row r="71" spans="1:17" x14ac:dyDescent="0.25">
      <c r="E71" s="1" t="s">
        <v>254</v>
      </c>
      <c r="F71" s="1"/>
      <c r="G71" s="1">
        <v>150.15</v>
      </c>
      <c r="J71" s="8"/>
      <c r="K71" s="35"/>
      <c r="Q71" s="35"/>
    </row>
    <row r="72" spans="1:17" x14ac:dyDescent="0.25">
      <c r="E72" s="1" t="s">
        <v>239</v>
      </c>
      <c r="F72" s="1"/>
      <c r="G72" s="1">
        <f>G70-G71</f>
        <v>2.4499999999999886</v>
      </c>
      <c r="J72" s="8"/>
      <c r="K72" s="26"/>
    </row>
    <row r="73" spans="1:17" x14ac:dyDescent="0.25">
      <c r="E73" s="1" t="s">
        <v>240</v>
      </c>
      <c r="F73" s="1"/>
      <c r="G73" s="5">
        <f>G72*G69</f>
        <v>83335.622999999614</v>
      </c>
      <c r="K73" s="26"/>
    </row>
    <row r="74" spans="1:17" x14ac:dyDescent="0.25">
      <c r="K74" s="26"/>
    </row>
    <row r="75" spans="1:17" x14ac:dyDescent="0.25">
      <c r="K75" s="26"/>
    </row>
    <row r="76" spans="1:17" x14ac:dyDescent="0.25">
      <c r="A76" s="6" t="s">
        <v>166</v>
      </c>
      <c r="K76" s="26"/>
    </row>
    <row r="77" spans="1:17" ht="45" x14ac:dyDescent="0.25">
      <c r="B77" s="1" t="s">
        <v>172</v>
      </c>
      <c r="C77" s="1" t="s">
        <v>168</v>
      </c>
      <c r="D77" s="1" t="s">
        <v>167</v>
      </c>
      <c r="E77" s="1" t="s">
        <v>169</v>
      </c>
      <c r="F77" s="1"/>
      <c r="G77" s="1" t="s">
        <v>22</v>
      </c>
      <c r="H77" s="1" t="s">
        <v>170</v>
      </c>
      <c r="I77" s="1" t="s">
        <v>171</v>
      </c>
      <c r="J77" s="1" t="s">
        <v>52</v>
      </c>
      <c r="K77" s="5" t="s">
        <v>21</v>
      </c>
      <c r="L77" s="17" t="s">
        <v>53</v>
      </c>
      <c r="M77" s="17" t="s">
        <v>54</v>
      </c>
      <c r="N77" s="17" t="s">
        <v>1</v>
      </c>
      <c r="O77" s="17" t="s">
        <v>2</v>
      </c>
      <c r="P77" s="17" t="s">
        <v>3</v>
      </c>
      <c r="Q77" s="17" t="s">
        <v>4</v>
      </c>
    </row>
    <row r="78" spans="1:17" x14ac:dyDescent="0.25">
      <c r="B78" s="1">
        <v>5000223253</v>
      </c>
      <c r="C78" s="1">
        <v>114</v>
      </c>
      <c r="D78" s="1">
        <v>1001921</v>
      </c>
      <c r="E78" s="1" t="s">
        <v>11</v>
      </c>
      <c r="F78" s="1"/>
      <c r="G78" s="1">
        <v>500</v>
      </c>
      <c r="H78" s="1">
        <v>162.9</v>
      </c>
      <c r="I78" s="1">
        <v>176.8</v>
      </c>
      <c r="J78" s="1">
        <f t="shared" ref="J78:J83" si="9">I78-H78</f>
        <v>13.900000000000006</v>
      </c>
      <c r="K78" s="5">
        <f t="shared" ref="K78:K83" si="10">J78*G78</f>
        <v>6950.0000000000027</v>
      </c>
      <c r="L78" s="9">
        <v>20.8</v>
      </c>
      <c r="M78" s="9">
        <v>19.559999999999999</v>
      </c>
      <c r="N78" s="7">
        <f t="shared" ref="N78:N83" si="11">G78/L78</f>
        <v>24.038461538461537</v>
      </c>
      <c r="O78" s="7">
        <f t="shared" ref="O78:O83" si="12">G78/M78</f>
        <v>25.562372188139062</v>
      </c>
      <c r="P78" s="7">
        <f t="shared" ref="P78:P83" si="13">O78-N78</f>
        <v>1.523910649677525</v>
      </c>
      <c r="Q78" s="10">
        <f t="shared" ref="Q78:Q83" si="14">P78*L78*I78</f>
        <v>5604.0899795501182</v>
      </c>
    </row>
    <row r="79" spans="1:17" x14ac:dyDescent="0.25">
      <c r="B79" s="1">
        <v>5000223253</v>
      </c>
      <c r="C79" s="1">
        <v>114</v>
      </c>
      <c r="D79" s="1">
        <v>1001921</v>
      </c>
      <c r="E79" s="1" t="s">
        <v>11</v>
      </c>
      <c r="F79" s="1"/>
      <c r="G79" s="1">
        <v>467.6</v>
      </c>
      <c r="H79" s="1">
        <v>162.9</v>
      </c>
      <c r="I79" s="1">
        <v>176.8</v>
      </c>
      <c r="J79" s="1">
        <f t="shared" si="9"/>
        <v>13.900000000000006</v>
      </c>
      <c r="K79" s="5">
        <f t="shared" si="10"/>
        <v>6499.6400000000031</v>
      </c>
      <c r="L79" s="9">
        <v>20.8</v>
      </c>
      <c r="M79" s="9">
        <v>19.559999999999999</v>
      </c>
      <c r="N79" s="7">
        <f t="shared" si="11"/>
        <v>22.48076923076923</v>
      </c>
      <c r="O79" s="7">
        <f t="shared" si="12"/>
        <v>23.905930470347652</v>
      </c>
      <c r="P79" s="7">
        <f t="shared" si="13"/>
        <v>1.4251612395784221</v>
      </c>
      <c r="Q79" s="10">
        <f t="shared" si="14"/>
        <v>5240.9449488752734</v>
      </c>
    </row>
    <row r="80" spans="1:17" x14ac:dyDescent="0.25">
      <c r="B80" s="1">
        <v>5000223252</v>
      </c>
      <c r="C80" s="1">
        <v>114</v>
      </c>
      <c r="D80" s="1">
        <v>1001922</v>
      </c>
      <c r="E80" s="1" t="s">
        <v>5</v>
      </c>
      <c r="F80" s="1"/>
      <c r="G80" s="3">
        <v>1587.4</v>
      </c>
      <c r="H80" s="1">
        <v>162.9</v>
      </c>
      <c r="I80" s="1">
        <v>176.8</v>
      </c>
      <c r="J80" s="1">
        <f t="shared" si="9"/>
        <v>13.900000000000006</v>
      </c>
      <c r="K80" s="5">
        <f t="shared" si="10"/>
        <v>22064.860000000011</v>
      </c>
      <c r="L80" s="9">
        <v>20.8</v>
      </c>
      <c r="M80" s="9">
        <v>19.559999999999999</v>
      </c>
      <c r="N80" s="7">
        <f t="shared" si="11"/>
        <v>76.317307692307693</v>
      </c>
      <c r="O80" s="7">
        <f t="shared" si="12"/>
        <v>81.155419222903902</v>
      </c>
      <c r="P80" s="7">
        <f t="shared" si="13"/>
        <v>4.8381115305962084</v>
      </c>
      <c r="Q80" s="10">
        <f t="shared" si="14"/>
        <v>17791.864867075721</v>
      </c>
    </row>
    <row r="81" spans="1:17" x14ac:dyDescent="0.25">
      <c r="B81" s="1">
        <v>5000222365</v>
      </c>
      <c r="C81" s="1">
        <v>114</v>
      </c>
      <c r="D81" s="1">
        <v>1001922</v>
      </c>
      <c r="E81" s="1" t="s">
        <v>5</v>
      </c>
      <c r="F81" s="1"/>
      <c r="G81" s="1">
        <v>444.7</v>
      </c>
      <c r="H81" s="1">
        <v>162.9</v>
      </c>
      <c r="I81" s="1">
        <v>176.8</v>
      </c>
      <c r="J81" s="1">
        <f t="shared" si="9"/>
        <v>13.900000000000006</v>
      </c>
      <c r="K81" s="5">
        <f t="shared" si="10"/>
        <v>6181.3300000000027</v>
      </c>
      <c r="L81" s="9">
        <v>20.8</v>
      </c>
      <c r="M81" s="9">
        <v>19.559999999999999</v>
      </c>
      <c r="N81" s="7">
        <f t="shared" si="11"/>
        <v>21.37980769230769</v>
      </c>
      <c r="O81" s="7">
        <f t="shared" si="12"/>
        <v>22.735173824130879</v>
      </c>
      <c r="P81" s="7">
        <f t="shared" si="13"/>
        <v>1.3553661318231889</v>
      </c>
      <c r="Q81" s="10">
        <f t="shared" si="14"/>
        <v>4984.2776278118681</v>
      </c>
    </row>
    <row r="82" spans="1:17" x14ac:dyDescent="0.25">
      <c r="B82" s="1">
        <v>5000221640</v>
      </c>
      <c r="C82" s="1">
        <v>114</v>
      </c>
      <c r="D82" s="1">
        <v>1001922</v>
      </c>
      <c r="E82" s="1" t="s">
        <v>5</v>
      </c>
      <c r="F82" s="1"/>
      <c r="G82" s="3">
        <v>1213.9000000000001</v>
      </c>
      <c r="H82" s="1">
        <v>162.9</v>
      </c>
      <c r="I82" s="1">
        <v>176.8</v>
      </c>
      <c r="J82" s="1">
        <f t="shared" si="9"/>
        <v>13.900000000000006</v>
      </c>
      <c r="K82" s="5">
        <f t="shared" si="10"/>
        <v>16873.210000000006</v>
      </c>
      <c r="L82" s="9">
        <v>20.8</v>
      </c>
      <c r="M82" s="9">
        <v>19.559999999999999</v>
      </c>
      <c r="N82" s="7">
        <f t="shared" si="11"/>
        <v>58.360576923076927</v>
      </c>
      <c r="O82" s="7">
        <f t="shared" si="12"/>
        <v>62.060327198364014</v>
      </c>
      <c r="P82" s="7">
        <f t="shared" si="13"/>
        <v>3.6997502752870872</v>
      </c>
      <c r="Q82" s="10">
        <f t="shared" si="14"/>
        <v>13605.609652351746</v>
      </c>
    </row>
    <row r="83" spans="1:17" x14ac:dyDescent="0.25">
      <c r="B83" s="1">
        <v>5000221534</v>
      </c>
      <c r="C83" s="1">
        <v>114</v>
      </c>
      <c r="D83" s="1">
        <v>1001922</v>
      </c>
      <c r="E83" s="1" t="s">
        <v>5</v>
      </c>
      <c r="F83" s="1"/>
      <c r="G83" s="1">
        <v>795.8</v>
      </c>
      <c r="H83" s="1">
        <v>162.9</v>
      </c>
      <c r="I83" s="1">
        <v>176.8</v>
      </c>
      <c r="J83" s="1">
        <f t="shared" si="9"/>
        <v>13.900000000000006</v>
      </c>
      <c r="K83" s="5">
        <f t="shared" si="10"/>
        <v>11061.620000000004</v>
      </c>
      <c r="L83" s="9">
        <v>20.8</v>
      </c>
      <c r="M83" s="9">
        <v>19.559999999999999</v>
      </c>
      <c r="N83" s="7">
        <f t="shared" si="11"/>
        <v>38.25961538461538</v>
      </c>
      <c r="O83" s="7">
        <f t="shared" si="12"/>
        <v>40.68507157464213</v>
      </c>
      <c r="P83" s="7">
        <f t="shared" si="13"/>
        <v>2.4254561900267504</v>
      </c>
      <c r="Q83" s="10">
        <f t="shared" si="14"/>
        <v>8919.4696114519738</v>
      </c>
    </row>
    <row r="84" spans="1:17" x14ac:dyDescent="0.25">
      <c r="B84" s="1"/>
      <c r="C84" s="1"/>
      <c r="D84" s="1"/>
      <c r="E84" s="1"/>
      <c r="F84" s="1"/>
      <c r="G84" s="1"/>
      <c r="H84" s="1"/>
      <c r="I84" s="1"/>
      <c r="J84" s="1"/>
      <c r="K84" s="5"/>
      <c r="L84" s="1"/>
      <c r="M84" s="1"/>
      <c r="N84" s="1"/>
      <c r="O84" s="1"/>
      <c r="P84" s="1"/>
      <c r="Q84" s="1"/>
    </row>
    <row r="85" spans="1:17" x14ac:dyDescent="0.25">
      <c r="B85" s="1"/>
      <c r="C85" s="1"/>
      <c r="D85" s="1"/>
      <c r="E85" s="1"/>
      <c r="F85" s="1"/>
      <c r="G85" s="5">
        <f>SUM(G78:G83)</f>
        <v>5009.4000000000005</v>
      </c>
      <c r="H85" s="1"/>
      <c r="I85" s="1"/>
      <c r="J85" s="1" t="s">
        <v>58</v>
      </c>
      <c r="K85" s="5">
        <f>SUM(K78:K83)</f>
        <v>69630.660000000033</v>
      </c>
      <c r="L85" s="1"/>
      <c r="M85" s="1"/>
      <c r="N85" s="1"/>
      <c r="O85" s="1"/>
      <c r="P85" s="1"/>
      <c r="Q85" s="5">
        <f>SUM(Q78:Q83)</f>
        <v>56146.256687116707</v>
      </c>
    </row>
    <row r="86" spans="1:17" x14ac:dyDescent="0.25">
      <c r="B86" s="8"/>
      <c r="C86" s="8"/>
      <c r="D86" s="8"/>
      <c r="E86" s="8"/>
      <c r="F86" s="8"/>
      <c r="G86" s="26"/>
      <c r="H86" s="8"/>
      <c r="I86" s="8"/>
      <c r="J86" s="8"/>
      <c r="K86" s="26"/>
    </row>
    <row r="87" spans="1:17" x14ac:dyDescent="0.25">
      <c r="B87" s="8"/>
      <c r="C87" s="5" t="s">
        <v>252</v>
      </c>
      <c r="D87" s="1"/>
      <c r="E87" s="10">
        <f>G85</f>
        <v>5009.4000000000005</v>
      </c>
      <c r="F87" s="8"/>
      <c r="G87" s="26"/>
      <c r="H87" s="8"/>
      <c r="I87" s="8"/>
      <c r="J87" s="8"/>
      <c r="K87" s="26"/>
      <c r="L87" s="8"/>
      <c r="M87" s="8"/>
    </row>
    <row r="88" spans="1:17" x14ac:dyDescent="0.25">
      <c r="B88" s="8"/>
      <c r="C88" s="1" t="s">
        <v>253</v>
      </c>
      <c r="D88" s="1"/>
      <c r="E88" s="1">
        <v>162.9</v>
      </c>
      <c r="F88" s="8"/>
      <c r="G88" s="26"/>
      <c r="H88" s="8"/>
      <c r="I88" s="8"/>
      <c r="J88" s="8"/>
      <c r="K88" s="26" t="s">
        <v>63</v>
      </c>
      <c r="L88" s="8"/>
      <c r="M88" s="8"/>
      <c r="N88">
        <f>K85+Q85</f>
        <v>125776.91668711674</v>
      </c>
    </row>
    <row r="89" spans="1:17" x14ac:dyDescent="0.25">
      <c r="C89" s="1" t="s">
        <v>254</v>
      </c>
      <c r="D89" s="1"/>
      <c r="E89" s="1">
        <v>165.35</v>
      </c>
      <c r="J89" s="8"/>
      <c r="K89" s="26"/>
      <c r="L89" s="8"/>
      <c r="M89" s="8"/>
    </row>
    <row r="90" spans="1:17" x14ac:dyDescent="0.25">
      <c r="C90" s="1" t="s">
        <v>239</v>
      </c>
      <c r="D90" s="1"/>
      <c r="E90" s="1">
        <f>E89-E88</f>
        <v>2.4499999999999886</v>
      </c>
      <c r="J90" s="8"/>
      <c r="K90" s="26"/>
      <c r="L90" s="8"/>
      <c r="M90" s="8"/>
    </row>
    <row r="91" spans="1:17" x14ac:dyDescent="0.25">
      <c r="C91" s="1" t="s">
        <v>240</v>
      </c>
      <c r="D91" s="1"/>
      <c r="E91" s="5">
        <f>E87*E90</f>
        <v>12273.029999999944</v>
      </c>
      <c r="K91" s="26"/>
    </row>
    <row r="93" spans="1:17" x14ac:dyDescent="0.25">
      <c r="A93" s="6" t="s">
        <v>79</v>
      </c>
    </row>
    <row r="94" spans="1:17" x14ac:dyDescent="0.25">
      <c r="B94" s="1" t="s">
        <v>172</v>
      </c>
      <c r="C94" s="1" t="s">
        <v>168</v>
      </c>
      <c r="D94" s="1" t="s">
        <v>167</v>
      </c>
      <c r="E94" s="1" t="s">
        <v>169</v>
      </c>
      <c r="F94" s="1"/>
      <c r="G94" s="1" t="s">
        <v>22</v>
      </c>
      <c r="H94" s="1" t="s">
        <v>50</v>
      </c>
      <c r="I94" s="1" t="s">
        <v>192</v>
      </c>
      <c r="J94" s="1" t="s">
        <v>52</v>
      </c>
      <c r="K94" s="1" t="s">
        <v>21</v>
      </c>
    </row>
    <row r="95" spans="1:17" x14ac:dyDescent="0.25">
      <c r="B95" s="1">
        <v>5000222157</v>
      </c>
      <c r="C95" s="1">
        <v>114</v>
      </c>
      <c r="D95" s="1">
        <v>1000065</v>
      </c>
      <c r="E95" s="1" t="s">
        <v>80</v>
      </c>
      <c r="F95" s="1"/>
      <c r="G95" s="2">
        <v>13390</v>
      </c>
      <c r="H95" s="1">
        <v>41.3</v>
      </c>
      <c r="I95" s="5">
        <v>43.38</v>
      </c>
      <c r="J95" s="1">
        <f t="shared" ref="J95:J140" si="15">I95-H95</f>
        <v>2.0800000000000054</v>
      </c>
      <c r="K95" s="5">
        <f>G95*J95/130</f>
        <v>214.24000000000058</v>
      </c>
    </row>
    <row r="96" spans="1:17" x14ac:dyDescent="0.25">
      <c r="B96" s="1">
        <v>5000222157</v>
      </c>
      <c r="C96" s="1">
        <v>114</v>
      </c>
      <c r="D96" s="1">
        <v>1000065</v>
      </c>
      <c r="E96" s="1" t="s">
        <v>80</v>
      </c>
      <c r="F96" s="1"/>
      <c r="G96" s="2">
        <v>12610</v>
      </c>
      <c r="H96" s="1">
        <v>41.3</v>
      </c>
      <c r="I96" s="5">
        <v>43.38</v>
      </c>
      <c r="J96" s="1">
        <f t="shared" si="15"/>
        <v>2.0800000000000054</v>
      </c>
      <c r="K96" s="5">
        <f t="shared" ref="K96:K105" si="16">G96*J96/130</f>
        <v>201.76000000000053</v>
      </c>
    </row>
    <row r="97" spans="2:11" x14ac:dyDescent="0.25">
      <c r="B97" s="1">
        <v>5000218889</v>
      </c>
      <c r="C97" s="1">
        <v>114</v>
      </c>
      <c r="D97" s="1">
        <v>1000065</v>
      </c>
      <c r="E97" s="1" t="s">
        <v>80</v>
      </c>
      <c r="F97" s="1"/>
      <c r="G97" s="2">
        <v>1560</v>
      </c>
      <c r="H97" s="1">
        <v>41.3</v>
      </c>
      <c r="I97" s="5">
        <v>43.38</v>
      </c>
      <c r="J97" s="1">
        <f t="shared" si="15"/>
        <v>2.0800000000000054</v>
      </c>
      <c r="K97" s="5">
        <f t="shared" si="16"/>
        <v>24.960000000000065</v>
      </c>
    </row>
    <row r="98" spans="2:11" x14ac:dyDescent="0.25">
      <c r="B98" s="1">
        <v>5000218889</v>
      </c>
      <c r="C98" s="1">
        <v>114</v>
      </c>
      <c r="D98" s="1">
        <v>1000065</v>
      </c>
      <c r="E98" s="1" t="s">
        <v>80</v>
      </c>
      <c r="F98" s="1"/>
      <c r="G98" s="2">
        <v>6760</v>
      </c>
      <c r="H98" s="1">
        <v>41.3</v>
      </c>
      <c r="I98" s="5">
        <v>43.38</v>
      </c>
      <c r="J98" s="1">
        <f t="shared" si="15"/>
        <v>2.0800000000000054</v>
      </c>
      <c r="K98" s="5">
        <f t="shared" si="16"/>
        <v>108.16000000000028</v>
      </c>
    </row>
    <row r="99" spans="2:11" x14ac:dyDescent="0.25">
      <c r="B99" s="1">
        <v>5000218889</v>
      </c>
      <c r="C99" s="1">
        <v>114</v>
      </c>
      <c r="D99" s="1">
        <v>1000065</v>
      </c>
      <c r="E99" s="1" t="s">
        <v>80</v>
      </c>
      <c r="F99" s="1"/>
      <c r="G99" s="2">
        <v>19240</v>
      </c>
      <c r="H99" s="1">
        <v>41.3</v>
      </c>
      <c r="I99" s="5">
        <v>43.38</v>
      </c>
      <c r="J99" s="1">
        <f t="shared" si="15"/>
        <v>2.0800000000000054</v>
      </c>
      <c r="K99" s="5">
        <f t="shared" si="16"/>
        <v>307.84000000000083</v>
      </c>
    </row>
    <row r="100" spans="2:11" x14ac:dyDescent="0.25">
      <c r="B100" s="1">
        <v>5000218889</v>
      </c>
      <c r="C100" s="1">
        <v>114</v>
      </c>
      <c r="D100" s="1">
        <v>1000065</v>
      </c>
      <c r="E100" s="1" t="s">
        <v>80</v>
      </c>
      <c r="F100" s="1"/>
      <c r="G100" s="2">
        <v>8840</v>
      </c>
      <c r="H100" s="1">
        <v>41.3</v>
      </c>
      <c r="I100" s="5">
        <v>43.38</v>
      </c>
      <c r="J100" s="1">
        <f t="shared" si="15"/>
        <v>2.0800000000000054</v>
      </c>
      <c r="K100" s="5">
        <f t="shared" si="16"/>
        <v>141.44000000000037</v>
      </c>
    </row>
    <row r="101" spans="2:11" x14ac:dyDescent="0.25">
      <c r="B101" s="1">
        <v>5000222661</v>
      </c>
      <c r="C101" s="1">
        <v>114</v>
      </c>
      <c r="D101" s="1">
        <v>1000074</v>
      </c>
      <c r="E101" s="1" t="s">
        <v>81</v>
      </c>
      <c r="F101" s="1"/>
      <c r="G101" s="2">
        <v>4810</v>
      </c>
      <c r="H101" s="1">
        <v>41.3</v>
      </c>
      <c r="I101" s="5">
        <v>43.38</v>
      </c>
      <c r="J101" s="1">
        <f t="shared" si="15"/>
        <v>2.0800000000000054</v>
      </c>
      <c r="K101" s="5">
        <f t="shared" si="16"/>
        <v>76.960000000000207</v>
      </c>
    </row>
    <row r="102" spans="2:11" x14ac:dyDescent="0.25">
      <c r="B102" s="1">
        <v>5000222661</v>
      </c>
      <c r="C102" s="1">
        <v>114</v>
      </c>
      <c r="D102" s="1">
        <v>1000074</v>
      </c>
      <c r="E102" s="1" t="s">
        <v>81</v>
      </c>
      <c r="F102" s="1"/>
      <c r="G102" s="2">
        <v>11830</v>
      </c>
      <c r="H102" s="1">
        <v>41.3</v>
      </c>
      <c r="I102" s="5">
        <v>43.38</v>
      </c>
      <c r="J102" s="1">
        <f t="shared" si="15"/>
        <v>2.0800000000000054</v>
      </c>
      <c r="K102" s="5">
        <f t="shared" si="16"/>
        <v>189.28000000000048</v>
      </c>
    </row>
    <row r="103" spans="2:11" x14ac:dyDescent="0.25">
      <c r="B103" s="1">
        <v>5000222661</v>
      </c>
      <c r="C103" s="1">
        <v>114</v>
      </c>
      <c r="D103" s="1">
        <v>1000074</v>
      </c>
      <c r="E103" s="1" t="s">
        <v>81</v>
      </c>
      <c r="F103" s="1"/>
      <c r="G103" s="2">
        <v>4810</v>
      </c>
      <c r="H103" s="1">
        <v>41.3</v>
      </c>
      <c r="I103" s="5">
        <v>43.38</v>
      </c>
      <c r="J103" s="1">
        <f t="shared" si="15"/>
        <v>2.0800000000000054</v>
      </c>
      <c r="K103" s="5">
        <f t="shared" si="16"/>
        <v>76.960000000000207</v>
      </c>
    </row>
    <row r="104" spans="2:11" x14ac:dyDescent="0.25">
      <c r="B104" s="1">
        <v>5000221397</v>
      </c>
      <c r="C104" s="1">
        <v>114</v>
      </c>
      <c r="D104" s="1">
        <v>1000074</v>
      </c>
      <c r="E104" s="1" t="s">
        <v>81</v>
      </c>
      <c r="F104" s="1"/>
      <c r="G104" s="2">
        <v>23920</v>
      </c>
      <c r="H104" s="1">
        <v>41.3</v>
      </c>
      <c r="I104" s="5">
        <v>43.38</v>
      </c>
      <c r="J104" s="1">
        <f t="shared" si="15"/>
        <v>2.0800000000000054</v>
      </c>
      <c r="K104" s="5">
        <f t="shared" si="16"/>
        <v>382.72000000000099</v>
      </c>
    </row>
    <row r="105" spans="2:11" x14ac:dyDescent="0.25">
      <c r="B105" s="1">
        <v>5000221397</v>
      </c>
      <c r="C105" s="1">
        <v>114</v>
      </c>
      <c r="D105" s="1">
        <v>1000074</v>
      </c>
      <c r="E105" s="1" t="s">
        <v>81</v>
      </c>
      <c r="F105" s="1"/>
      <c r="G105" s="2">
        <v>13000</v>
      </c>
      <c r="H105" s="1">
        <v>41.3</v>
      </c>
      <c r="I105" s="5">
        <v>43.38</v>
      </c>
      <c r="J105" s="1">
        <f t="shared" si="15"/>
        <v>2.0800000000000054</v>
      </c>
      <c r="K105" s="5">
        <f t="shared" si="16"/>
        <v>208.00000000000054</v>
      </c>
    </row>
    <row r="106" spans="2:11" x14ac:dyDescent="0.25">
      <c r="B106" s="1">
        <v>5000221397</v>
      </c>
      <c r="C106" s="1">
        <v>114</v>
      </c>
      <c r="D106" s="1">
        <v>1000074</v>
      </c>
      <c r="E106" s="1" t="s">
        <v>81</v>
      </c>
      <c r="F106" s="1"/>
      <c r="G106" s="2">
        <v>13000</v>
      </c>
      <c r="H106" s="1">
        <v>41.3</v>
      </c>
      <c r="I106" s="5">
        <v>43.38</v>
      </c>
      <c r="J106" s="1">
        <f t="shared" si="15"/>
        <v>2.0800000000000054</v>
      </c>
      <c r="K106" s="5">
        <f>G106*J106/130</f>
        <v>208.00000000000054</v>
      </c>
    </row>
    <row r="107" spans="2:11" x14ac:dyDescent="0.25">
      <c r="B107" s="1">
        <v>5000220653</v>
      </c>
      <c r="C107" s="1">
        <v>114</v>
      </c>
      <c r="D107" s="1">
        <v>1000090</v>
      </c>
      <c r="E107" s="1" t="s">
        <v>112</v>
      </c>
      <c r="F107" s="1"/>
      <c r="G107" s="2">
        <v>22425</v>
      </c>
      <c r="H107" s="1">
        <v>134.5</v>
      </c>
      <c r="I107" s="5">
        <v>139.41999999999999</v>
      </c>
      <c r="J107" s="1">
        <f t="shared" si="15"/>
        <v>4.9199999999999875</v>
      </c>
      <c r="K107" s="5">
        <f>G107*J107/325</f>
        <v>339.47999999999917</v>
      </c>
    </row>
    <row r="108" spans="2:11" x14ac:dyDescent="0.25">
      <c r="B108" s="1">
        <v>5000220653</v>
      </c>
      <c r="C108" s="1">
        <v>114</v>
      </c>
      <c r="D108" s="1">
        <v>1000090</v>
      </c>
      <c r="E108" s="1" t="s">
        <v>112</v>
      </c>
      <c r="F108" s="1"/>
      <c r="G108" s="2">
        <v>8775</v>
      </c>
      <c r="H108" s="1">
        <v>134.5</v>
      </c>
      <c r="I108" s="5">
        <v>139.41999999999999</v>
      </c>
      <c r="J108" s="1">
        <f t="shared" si="15"/>
        <v>4.9199999999999875</v>
      </c>
      <c r="K108" s="5">
        <f>G108*J108/325</f>
        <v>132.83999999999966</v>
      </c>
    </row>
    <row r="109" spans="2:11" x14ac:dyDescent="0.25">
      <c r="B109" s="1">
        <v>5000221397</v>
      </c>
      <c r="C109" s="1">
        <v>114</v>
      </c>
      <c r="D109" s="1">
        <v>1000107</v>
      </c>
      <c r="E109" s="1" t="s">
        <v>82</v>
      </c>
      <c r="F109" s="1"/>
      <c r="G109" s="2">
        <v>13000</v>
      </c>
      <c r="H109" s="1">
        <v>41.3</v>
      </c>
      <c r="I109" s="5">
        <v>43.38</v>
      </c>
      <c r="J109" s="1">
        <f t="shared" si="15"/>
        <v>2.0800000000000054</v>
      </c>
      <c r="K109" s="5">
        <f>G109*J109/130</f>
        <v>208.00000000000054</v>
      </c>
    </row>
    <row r="110" spans="2:11" x14ac:dyDescent="0.25">
      <c r="B110" s="1">
        <v>5000221397</v>
      </c>
      <c r="C110" s="1">
        <v>114</v>
      </c>
      <c r="D110" s="1">
        <v>1001355</v>
      </c>
      <c r="E110" s="1" t="s">
        <v>111</v>
      </c>
      <c r="F110" s="1"/>
      <c r="G110" s="2">
        <v>21125</v>
      </c>
      <c r="H110" s="1">
        <v>132.5</v>
      </c>
      <c r="I110" s="5">
        <v>139.41999999999999</v>
      </c>
      <c r="J110" s="1">
        <f t="shared" si="15"/>
        <v>6.9199999999999875</v>
      </c>
      <c r="K110" s="5">
        <f>G110*J110/325</f>
        <v>449.79999999999922</v>
      </c>
    </row>
    <row r="111" spans="2:11" x14ac:dyDescent="0.25">
      <c r="B111" s="1">
        <v>5000220653</v>
      </c>
      <c r="C111" s="1">
        <v>114</v>
      </c>
      <c r="D111" s="1">
        <v>1001761</v>
      </c>
      <c r="E111" s="1" t="s">
        <v>193</v>
      </c>
      <c r="F111" s="1"/>
      <c r="G111" s="2">
        <v>13000</v>
      </c>
      <c r="H111" s="1">
        <v>41.3</v>
      </c>
      <c r="I111" s="5">
        <v>43.38</v>
      </c>
      <c r="J111" s="1">
        <f t="shared" si="15"/>
        <v>2.0800000000000054</v>
      </c>
      <c r="K111" s="5">
        <f>G111*J111/130</f>
        <v>208.00000000000054</v>
      </c>
    </row>
    <row r="112" spans="2:11" x14ac:dyDescent="0.25">
      <c r="B112" s="1">
        <v>5000222966</v>
      </c>
      <c r="C112" s="1">
        <v>114</v>
      </c>
      <c r="D112" s="1">
        <v>1001771</v>
      </c>
      <c r="E112" s="1" t="s">
        <v>83</v>
      </c>
      <c r="F112" s="1"/>
      <c r="G112" s="2">
        <v>41600</v>
      </c>
      <c r="H112" s="1">
        <v>134.5</v>
      </c>
      <c r="I112" s="5">
        <v>139.41999999999999</v>
      </c>
      <c r="J112" s="1">
        <f t="shared" si="15"/>
        <v>4.9199999999999875</v>
      </c>
      <c r="K112" s="5">
        <f>G112*J112/325</f>
        <v>629.7599999999984</v>
      </c>
    </row>
    <row r="113" spans="2:11" x14ac:dyDescent="0.25">
      <c r="B113" s="1">
        <v>5000222966</v>
      </c>
      <c r="C113" s="1">
        <v>114</v>
      </c>
      <c r="D113" s="1">
        <v>1001771</v>
      </c>
      <c r="E113" s="1" t="s">
        <v>83</v>
      </c>
      <c r="F113" s="1"/>
      <c r="G113" s="2">
        <v>22100</v>
      </c>
      <c r="H113" s="1">
        <v>134.5</v>
      </c>
      <c r="I113" s="5">
        <v>139.41999999999999</v>
      </c>
      <c r="J113" s="1">
        <f t="shared" si="15"/>
        <v>4.9199999999999875</v>
      </c>
      <c r="K113" s="5">
        <f t="shared" ref="K113:K140" si="17">G113*J113/325</f>
        <v>334.55999999999915</v>
      </c>
    </row>
    <row r="114" spans="2:11" x14ac:dyDescent="0.25">
      <c r="B114" s="1">
        <v>5000222966</v>
      </c>
      <c r="C114" s="1">
        <v>114</v>
      </c>
      <c r="D114" s="1">
        <v>1001771</v>
      </c>
      <c r="E114" s="1" t="s">
        <v>83</v>
      </c>
      <c r="F114" s="1"/>
      <c r="G114" s="2">
        <v>16900</v>
      </c>
      <c r="H114" s="1">
        <v>134.5</v>
      </c>
      <c r="I114" s="5">
        <v>139.41999999999999</v>
      </c>
      <c r="J114" s="1">
        <f t="shared" si="15"/>
        <v>4.9199999999999875</v>
      </c>
      <c r="K114" s="5">
        <f t="shared" si="17"/>
        <v>255.83999999999932</v>
      </c>
    </row>
    <row r="115" spans="2:11" x14ac:dyDescent="0.25">
      <c r="B115" s="1">
        <v>5000222661</v>
      </c>
      <c r="C115" s="1">
        <v>114</v>
      </c>
      <c r="D115" s="1">
        <v>1001771</v>
      </c>
      <c r="E115" s="1" t="s">
        <v>83</v>
      </c>
      <c r="F115" s="1"/>
      <c r="G115" s="2">
        <v>61425</v>
      </c>
      <c r="H115" s="1">
        <v>134.5</v>
      </c>
      <c r="I115" s="5">
        <v>139.41999999999999</v>
      </c>
      <c r="J115" s="1">
        <f t="shared" si="15"/>
        <v>4.9199999999999875</v>
      </c>
      <c r="K115" s="5">
        <f t="shared" si="17"/>
        <v>929.87999999999772</v>
      </c>
    </row>
    <row r="116" spans="2:11" x14ac:dyDescent="0.25">
      <c r="B116" s="1">
        <v>5000221716</v>
      </c>
      <c r="C116" s="1">
        <v>114</v>
      </c>
      <c r="D116" s="1">
        <v>1001771</v>
      </c>
      <c r="E116" s="1" t="s">
        <v>83</v>
      </c>
      <c r="F116" s="1"/>
      <c r="G116" s="2">
        <v>195325</v>
      </c>
      <c r="H116" s="1">
        <v>134.5</v>
      </c>
      <c r="I116" s="5">
        <v>139.41999999999999</v>
      </c>
      <c r="J116" s="1">
        <f t="shared" si="15"/>
        <v>4.9199999999999875</v>
      </c>
      <c r="K116" s="5">
        <f t="shared" si="17"/>
        <v>2956.9199999999923</v>
      </c>
    </row>
    <row r="117" spans="2:11" x14ac:dyDescent="0.25">
      <c r="B117" s="1">
        <v>5000221716</v>
      </c>
      <c r="C117" s="1">
        <v>114</v>
      </c>
      <c r="D117" s="1">
        <v>1001771</v>
      </c>
      <c r="E117" s="1" t="s">
        <v>83</v>
      </c>
      <c r="F117" s="1"/>
      <c r="G117" s="2">
        <v>50375</v>
      </c>
      <c r="H117" s="1">
        <v>134.5</v>
      </c>
      <c r="I117" s="5">
        <v>139.41999999999999</v>
      </c>
      <c r="J117" s="1">
        <f t="shared" si="15"/>
        <v>4.9199999999999875</v>
      </c>
      <c r="K117" s="5">
        <f t="shared" si="17"/>
        <v>762.59999999999798</v>
      </c>
    </row>
    <row r="118" spans="2:11" x14ac:dyDescent="0.25">
      <c r="B118" s="1">
        <v>5000220653</v>
      </c>
      <c r="C118" s="1">
        <v>114</v>
      </c>
      <c r="D118" s="1">
        <v>1001771</v>
      </c>
      <c r="E118" s="1" t="s">
        <v>83</v>
      </c>
      <c r="F118" s="1"/>
      <c r="G118" s="2">
        <v>111150</v>
      </c>
      <c r="H118" s="1">
        <v>134.5</v>
      </c>
      <c r="I118" s="5">
        <v>139.41999999999999</v>
      </c>
      <c r="J118" s="1">
        <f t="shared" si="15"/>
        <v>4.9199999999999875</v>
      </c>
      <c r="K118" s="5">
        <f t="shared" si="17"/>
        <v>1682.6399999999958</v>
      </c>
    </row>
    <row r="119" spans="2:11" x14ac:dyDescent="0.25">
      <c r="B119" s="1">
        <v>5000218889</v>
      </c>
      <c r="C119" s="1">
        <v>114</v>
      </c>
      <c r="D119" s="1">
        <v>1001771</v>
      </c>
      <c r="E119" s="1" t="s">
        <v>83</v>
      </c>
      <c r="F119" s="1"/>
      <c r="G119" s="2">
        <v>170625</v>
      </c>
      <c r="H119" s="1">
        <v>134.5</v>
      </c>
      <c r="I119" s="5">
        <v>139.41999999999999</v>
      </c>
      <c r="J119" s="1">
        <f t="shared" si="15"/>
        <v>4.9199999999999875</v>
      </c>
      <c r="K119" s="5">
        <f t="shared" si="17"/>
        <v>2582.9999999999936</v>
      </c>
    </row>
    <row r="120" spans="2:11" x14ac:dyDescent="0.25">
      <c r="B120" s="1">
        <v>5000217936</v>
      </c>
      <c r="C120" s="1">
        <v>114</v>
      </c>
      <c r="D120" s="1">
        <v>1001771</v>
      </c>
      <c r="E120" s="1" t="s">
        <v>83</v>
      </c>
      <c r="F120" s="1"/>
      <c r="G120" s="2">
        <v>99450</v>
      </c>
      <c r="H120" s="1">
        <v>134.5</v>
      </c>
      <c r="I120" s="5">
        <v>139.41999999999999</v>
      </c>
      <c r="J120" s="1">
        <f t="shared" si="15"/>
        <v>4.9199999999999875</v>
      </c>
      <c r="K120" s="5">
        <f t="shared" si="17"/>
        <v>1505.5199999999963</v>
      </c>
    </row>
    <row r="121" spans="2:11" x14ac:dyDescent="0.25">
      <c r="B121" s="1">
        <v>5000222661</v>
      </c>
      <c r="C121" s="1">
        <v>114</v>
      </c>
      <c r="D121" s="1">
        <v>1001859</v>
      </c>
      <c r="E121" s="1" t="s">
        <v>194</v>
      </c>
      <c r="F121" s="1"/>
      <c r="G121" s="2">
        <v>12480</v>
      </c>
      <c r="H121" s="1">
        <v>132.5</v>
      </c>
      <c r="I121" s="5">
        <v>139.41999999999999</v>
      </c>
      <c r="J121" s="1">
        <f t="shared" si="15"/>
        <v>6.9199999999999875</v>
      </c>
      <c r="K121" s="5">
        <f t="shared" si="17"/>
        <v>265.7279999999995</v>
      </c>
    </row>
    <row r="122" spans="2:11" x14ac:dyDescent="0.25">
      <c r="B122" s="1">
        <v>5000220653</v>
      </c>
      <c r="C122" s="1">
        <v>114</v>
      </c>
      <c r="D122" s="1">
        <v>1001929</v>
      </c>
      <c r="E122" s="1" t="s">
        <v>84</v>
      </c>
      <c r="F122" s="1"/>
      <c r="G122" s="2">
        <v>37375</v>
      </c>
      <c r="H122" s="1">
        <v>134.5</v>
      </c>
      <c r="I122" s="5">
        <v>139.41999999999999</v>
      </c>
      <c r="J122" s="1">
        <f t="shared" si="15"/>
        <v>4.9199999999999875</v>
      </c>
      <c r="K122" s="5">
        <f t="shared" si="17"/>
        <v>565.79999999999859</v>
      </c>
    </row>
    <row r="123" spans="2:11" x14ac:dyDescent="0.25">
      <c r="B123" s="1">
        <v>5000220653</v>
      </c>
      <c r="C123" s="1">
        <v>114</v>
      </c>
      <c r="D123" s="1">
        <v>1001929</v>
      </c>
      <c r="E123" s="1" t="s">
        <v>84</v>
      </c>
      <c r="F123" s="1"/>
      <c r="G123" s="2">
        <v>87580</v>
      </c>
      <c r="H123" s="1">
        <v>134.5</v>
      </c>
      <c r="I123" s="5">
        <v>139.41999999999999</v>
      </c>
      <c r="J123" s="1">
        <f t="shared" si="15"/>
        <v>4.9199999999999875</v>
      </c>
      <c r="K123" s="5">
        <f t="shared" si="17"/>
        <v>1325.8264615384583</v>
      </c>
    </row>
    <row r="124" spans="2:11" x14ac:dyDescent="0.25">
      <c r="B124" s="1">
        <v>5000218889</v>
      </c>
      <c r="C124" s="1">
        <v>114</v>
      </c>
      <c r="D124" s="1">
        <v>1001929</v>
      </c>
      <c r="E124" s="1" t="s">
        <v>84</v>
      </c>
      <c r="F124" s="1"/>
      <c r="G124" s="2">
        <v>47660</v>
      </c>
      <c r="H124" s="1">
        <v>134.5</v>
      </c>
      <c r="I124" s="5">
        <v>139.41999999999999</v>
      </c>
      <c r="J124" s="1">
        <f t="shared" si="15"/>
        <v>4.9199999999999875</v>
      </c>
      <c r="K124" s="5">
        <f t="shared" si="17"/>
        <v>721.49907692307511</v>
      </c>
    </row>
    <row r="125" spans="2:11" x14ac:dyDescent="0.25">
      <c r="B125" s="1">
        <v>5000218889</v>
      </c>
      <c r="C125" s="1">
        <v>114</v>
      </c>
      <c r="D125" s="1">
        <v>1001929</v>
      </c>
      <c r="E125" s="1" t="s">
        <v>84</v>
      </c>
      <c r="F125" s="1"/>
      <c r="G125" s="2">
        <v>4990</v>
      </c>
      <c r="H125" s="1">
        <v>134.5</v>
      </c>
      <c r="I125" s="5">
        <v>139.41999999999999</v>
      </c>
      <c r="J125" s="1">
        <f t="shared" si="15"/>
        <v>4.9199999999999875</v>
      </c>
      <c r="K125" s="5">
        <f t="shared" si="17"/>
        <v>75.54092307692288</v>
      </c>
    </row>
    <row r="126" spans="2:11" x14ac:dyDescent="0.25">
      <c r="B126" s="1">
        <v>5000222157</v>
      </c>
      <c r="C126" s="1">
        <v>114</v>
      </c>
      <c r="D126" s="1">
        <v>1001932</v>
      </c>
      <c r="E126" s="1" t="s">
        <v>85</v>
      </c>
      <c r="F126" s="1"/>
      <c r="G126" s="2">
        <v>32500</v>
      </c>
      <c r="H126" s="1">
        <v>161.4</v>
      </c>
      <c r="I126" s="5">
        <v>167.54</v>
      </c>
      <c r="J126" s="1">
        <f t="shared" si="15"/>
        <v>6.1399999999999864</v>
      </c>
      <c r="K126" s="5">
        <f t="shared" si="17"/>
        <v>613.99999999999864</v>
      </c>
    </row>
    <row r="127" spans="2:11" x14ac:dyDescent="0.25">
      <c r="B127" s="1">
        <v>5000218889</v>
      </c>
      <c r="C127" s="1">
        <v>114</v>
      </c>
      <c r="D127" s="1">
        <v>1001948</v>
      </c>
      <c r="E127" s="1" t="s">
        <v>110</v>
      </c>
      <c r="F127" s="1"/>
      <c r="G127" s="2">
        <v>30875</v>
      </c>
      <c r="H127" s="1">
        <v>161.4</v>
      </c>
      <c r="I127" s="5">
        <v>167.54</v>
      </c>
      <c r="J127" s="1">
        <f t="shared" si="15"/>
        <v>6.1399999999999864</v>
      </c>
      <c r="K127" s="5">
        <f t="shared" si="17"/>
        <v>583.2999999999987</v>
      </c>
    </row>
    <row r="128" spans="2:11" x14ac:dyDescent="0.25">
      <c r="B128" s="1">
        <v>5000222966</v>
      </c>
      <c r="C128" s="1">
        <v>114</v>
      </c>
      <c r="D128" s="1">
        <v>1002029</v>
      </c>
      <c r="E128" s="1" t="s">
        <v>86</v>
      </c>
      <c r="F128" s="1"/>
      <c r="G128" s="2">
        <v>25350</v>
      </c>
      <c r="H128" s="1">
        <v>161.4</v>
      </c>
      <c r="I128" s="5">
        <v>167.54</v>
      </c>
      <c r="J128" s="1">
        <f t="shared" si="15"/>
        <v>6.1399999999999864</v>
      </c>
      <c r="K128" s="5">
        <f t="shared" si="17"/>
        <v>478.91999999999894</v>
      </c>
    </row>
    <row r="129" spans="1:11" x14ac:dyDescent="0.25">
      <c r="B129" s="1">
        <v>5000222966</v>
      </c>
      <c r="C129" s="1">
        <v>114</v>
      </c>
      <c r="D129" s="1">
        <v>1002029</v>
      </c>
      <c r="E129" s="1" t="s">
        <v>86</v>
      </c>
      <c r="F129" s="1"/>
      <c r="G129" s="2">
        <v>65650</v>
      </c>
      <c r="H129" s="1">
        <v>161.4</v>
      </c>
      <c r="I129" s="5">
        <v>167.54</v>
      </c>
      <c r="J129" s="1">
        <f t="shared" si="15"/>
        <v>6.1399999999999864</v>
      </c>
      <c r="K129" s="5">
        <f t="shared" si="17"/>
        <v>1240.2799999999972</v>
      </c>
    </row>
    <row r="130" spans="1:11" x14ac:dyDescent="0.25">
      <c r="B130" s="1">
        <v>5000222966</v>
      </c>
      <c r="C130" s="1">
        <v>114</v>
      </c>
      <c r="D130" s="1">
        <v>1002029</v>
      </c>
      <c r="E130" s="1" t="s">
        <v>86</v>
      </c>
      <c r="F130" s="1"/>
      <c r="G130" s="2">
        <v>7800</v>
      </c>
      <c r="H130" s="1">
        <v>161.4</v>
      </c>
      <c r="I130" s="5">
        <v>167.54</v>
      </c>
      <c r="J130" s="1">
        <f t="shared" si="15"/>
        <v>6.1399999999999864</v>
      </c>
      <c r="K130" s="5">
        <f t="shared" si="17"/>
        <v>147.35999999999967</v>
      </c>
    </row>
    <row r="131" spans="1:11" x14ac:dyDescent="0.25">
      <c r="B131" s="1">
        <v>5000222157</v>
      </c>
      <c r="C131" s="1">
        <v>114</v>
      </c>
      <c r="D131" s="1">
        <v>1002029</v>
      </c>
      <c r="E131" s="1" t="s">
        <v>86</v>
      </c>
      <c r="F131" s="1"/>
      <c r="G131" s="2">
        <v>74750</v>
      </c>
      <c r="H131" s="1">
        <v>161.4</v>
      </c>
      <c r="I131" s="5">
        <v>167.54</v>
      </c>
      <c r="J131" s="1">
        <f t="shared" si="15"/>
        <v>6.1399999999999864</v>
      </c>
      <c r="K131" s="5">
        <f t="shared" si="17"/>
        <v>1412.1999999999969</v>
      </c>
    </row>
    <row r="132" spans="1:11" x14ac:dyDescent="0.25">
      <c r="B132" s="1">
        <v>5000217936</v>
      </c>
      <c r="C132" s="1">
        <v>114</v>
      </c>
      <c r="D132" s="1">
        <v>1002029</v>
      </c>
      <c r="E132" s="1" t="s">
        <v>86</v>
      </c>
      <c r="F132" s="1"/>
      <c r="G132" s="2">
        <v>18525</v>
      </c>
      <c r="H132" s="1">
        <v>161.4</v>
      </c>
      <c r="I132" s="5">
        <v>167.54</v>
      </c>
      <c r="J132" s="1">
        <f t="shared" si="15"/>
        <v>6.1399999999999864</v>
      </c>
      <c r="K132" s="5">
        <f t="shared" si="17"/>
        <v>349.97999999999922</v>
      </c>
    </row>
    <row r="133" spans="1:11" x14ac:dyDescent="0.25">
      <c r="B133" s="1">
        <v>5000222157</v>
      </c>
      <c r="C133" s="1">
        <v>114</v>
      </c>
      <c r="D133" s="1">
        <v>1002351</v>
      </c>
      <c r="E133" s="1" t="s">
        <v>109</v>
      </c>
      <c r="F133" s="1"/>
      <c r="G133" s="2">
        <v>13000</v>
      </c>
      <c r="H133" s="1">
        <v>41.3</v>
      </c>
      <c r="I133" s="5">
        <v>43.38</v>
      </c>
      <c r="J133" s="1">
        <f t="shared" si="15"/>
        <v>2.0800000000000054</v>
      </c>
      <c r="K133" s="5">
        <f>G133*J133/130</f>
        <v>208.00000000000054</v>
      </c>
    </row>
    <row r="134" spans="1:11" x14ac:dyDescent="0.25">
      <c r="B134" s="1">
        <v>5000217936</v>
      </c>
      <c r="C134" s="1">
        <v>114</v>
      </c>
      <c r="D134" s="1">
        <v>1002651</v>
      </c>
      <c r="E134" s="1" t="s">
        <v>195</v>
      </c>
      <c r="F134" s="1"/>
      <c r="G134" s="2">
        <v>13260</v>
      </c>
      <c r="H134" s="1">
        <v>132.5</v>
      </c>
      <c r="I134" s="5">
        <v>139.41999999999999</v>
      </c>
      <c r="J134" s="1">
        <f t="shared" si="15"/>
        <v>6.9199999999999875</v>
      </c>
      <c r="K134" s="5">
        <f t="shared" si="17"/>
        <v>282.3359999999995</v>
      </c>
    </row>
    <row r="135" spans="1:11" x14ac:dyDescent="0.25">
      <c r="B135" s="1">
        <v>5000217936</v>
      </c>
      <c r="C135" s="1">
        <v>114</v>
      </c>
      <c r="D135" s="1">
        <v>1002652</v>
      </c>
      <c r="E135" s="1" t="s">
        <v>196</v>
      </c>
      <c r="F135" s="1"/>
      <c r="G135" s="2">
        <v>13520</v>
      </c>
      <c r="H135" s="1">
        <v>132.5</v>
      </c>
      <c r="I135" s="5">
        <v>139.41999999999999</v>
      </c>
      <c r="J135" s="1">
        <f t="shared" si="15"/>
        <v>6.9199999999999875</v>
      </c>
      <c r="K135" s="5">
        <f t="shared" si="17"/>
        <v>287.8719999999995</v>
      </c>
    </row>
    <row r="136" spans="1:11" x14ac:dyDescent="0.25">
      <c r="B136" s="1">
        <v>5000217936</v>
      </c>
      <c r="C136" s="1">
        <v>114</v>
      </c>
      <c r="D136" s="1">
        <v>1002653</v>
      </c>
      <c r="E136" s="1" t="s">
        <v>197</v>
      </c>
      <c r="F136" s="1"/>
      <c r="G136" s="2">
        <v>13520</v>
      </c>
      <c r="H136" s="1">
        <v>132.5</v>
      </c>
      <c r="I136" s="5">
        <v>139.41999999999999</v>
      </c>
      <c r="J136" s="1">
        <f t="shared" si="15"/>
        <v>6.9199999999999875</v>
      </c>
      <c r="K136" s="5">
        <f t="shared" si="17"/>
        <v>287.8719999999995</v>
      </c>
    </row>
    <row r="137" spans="1:11" x14ac:dyDescent="0.25">
      <c r="B137" s="1">
        <v>5000221397</v>
      </c>
      <c r="C137" s="1">
        <v>114</v>
      </c>
      <c r="D137" s="1">
        <v>1002715</v>
      </c>
      <c r="E137" s="1" t="s">
        <v>198</v>
      </c>
      <c r="F137" s="1"/>
      <c r="G137" s="2">
        <v>32500</v>
      </c>
      <c r="H137" s="1">
        <v>161.4</v>
      </c>
      <c r="I137" s="5">
        <v>167.54</v>
      </c>
      <c r="J137" s="1">
        <f t="shared" si="15"/>
        <v>6.1399999999999864</v>
      </c>
      <c r="K137" s="5">
        <f t="shared" si="17"/>
        <v>613.99999999999864</v>
      </c>
    </row>
    <row r="138" spans="1:11" x14ac:dyDescent="0.25">
      <c r="B138" s="1">
        <v>5000217936</v>
      </c>
      <c r="C138" s="1">
        <v>114</v>
      </c>
      <c r="D138" s="1">
        <v>1002749</v>
      </c>
      <c r="E138" s="1" t="s">
        <v>199</v>
      </c>
      <c r="F138" s="1"/>
      <c r="G138" s="2">
        <v>13000</v>
      </c>
      <c r="H138" s="1">
        <v>132.5</v>
      </c>
      <c r="I138" s="5">
        <v>139.41999999999999</v>
      </c>
      <c r="J138" s="1">
        <f t="shared" si="15"/>
        <v>6.9199999999999875</v>
      </c>
      <c r="K138" s="5">
        <f t="shared" si="17"/>
        <v>276.7999999999995</v>
      </c>
    </row>
    <row r="139" spans="1:11" x14ac:dyDescent="0.25">
      <c r="B139" s="1">
        <v>5000217936</v>
      </c>
      <c r="C139" s="1">
        <v>114</v>
      </c>
      <c r="D139" s="1">
        <v>1002750</v>
      </c>
      <c r="E139" s="1" t="s">
        <v>200</v>
      </c>
      <c r="F139" s="1"/>
      <c r="G139" s="2">
        <v>12480</v>
      </c>
      <c r="H139" s="1">
        <v>132.5</v>
      </c>
      <c r="I139" s="5">
        <v>139.41999999999999</v>
      </c>
      <c r="J139" s="1">
        <f t="shared" si="15"/>
        <v>6.9199999999999875</v>
      </c>
      <c r="K139" s="5">
        <f t="shared" si="17"/>
        <v>265.7279999999995</v>
      </c>
    </row>
    <row r="140" spans="1:11" x14ac:dyDescent="0.25">
      <c r="B140" s="1">
        <v>5000217936</v>
      </c>
      <c r="C140" s="1">
        <v>114</v>
      </c>
      <c r="D140" s="1">
        <v>1002751</v>
      </c>
      <c r="E140" s="1" t="s">
        <v>201</v>
      </c>
      <c r="F140" s="1"/>
      <c r="G140" s="2">
        <v>13000</v>
      </c>
      <c r="H140" s="1">
        <v>132.5</v>
      </c>
      <c r="I140" s="5">
        <v>139.41999999999999</v>
      </c>
      <c r="J140" s="1">
        <f t="shared" si="15"/>
        <v>6.9199999999999875</v>
      </c>
      <c r="K140" s="5">
        <f t="shared" si="17"/>
        <v>276.7999999999995</v>
      </c>
    </row>
    <row r="141" spans="1:1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B142" s="1"/>
      <c r="C142" s="1"/>
      <c r="D142" s="1"/>
      <c r="E142" s="1"/>
      <c r="F142" s="1"/>
      <c r="G142" s="34">
        <f>SUM(G95:G140)</f>
        <v>1550860</v>
      </c>
      <c r="H142" s="1"/>
      <c r="I142" s="1"/>
      <c r="J142" s="5" t="s">
        <v>58</v>
      </c>
      <c r="K142" s="34">
        <f>SUM(K95:K140)</f>
        <v>25399.002461538417</v>
      </c>
    </row>
    <row r="144" spans="1:11" x14ac:dyDescent="0.25">
      <c r="A144" s="5" t="s">
        <v>202</v>
      </c>
    </row>
    <row r="145" spans="2:11" x14ac:dyDescent="0.25">
      <c r="B145" s="1" t="s">
        <v>172</v>
      </c>
      <c r="C145" s="1" t="s">
        <v>168</v>
      </c>
      <c r="D145" s="1" t="s">
        <v>167</v>
      </c>
      <c r="E145" s="1" t="s">
        <v>169</v>
      </c>
      <c r="F145" s="1"/>
      <c r="G145" s="1" t="s">
        <v>22</v>
      </c>
      <c r="H145" s="1" t="s">
        <v>50</v>
      </c>
      <c r="I145" s="1" t="s">
        <v>192</v>
      </c>
      <c r="J145" s="1" t="s">
        <v>52</v>
      </c>
      <c r="K145" s="1" t="s">
        <v>21</v>
      </c>
    </row>
    <row r="146" spans="2:11" x14ac:dyDescent="0.25">
      <c r="B146" s="1">
        <v>5000223924</v>
      </c>
      <c r="C146" s="1">
        <v>114</v>
      </c>
      <c r="D146" s="1">
        <v>1001263</v>
      </c>
      <c r="E146" s="1" t="s">
        <v>108</v>
      </c>
      <c r="F146" s="1"/>
      <c r="G146" s="3">
        <v>1438.3</v>
      </c>
      <c r="H146" s="1">
        <v>72.5</v>
      </c>
      <c r="I146" s="5">
        <v>75.48</v>
      </c>
      <c r="J146" s="1">
        <f t="shared" ref="J146:J167" si="18">I146-H146</f>
        <v>2.980000000000004</v>
      </c>
      <c r="K146" s="5">
        <f>J146*G146</f>
        <v>4286.1340000000055</v>
      </c>
    </row>
    <row r="147" spans="2:11" x14ac:dyDescent="0.25">
      <c r="B147" s="1">
        <v>5000221527</v>
      </c>
      <c r="C147" s="1">
        <v>114</v>
      </c>
      <c r="D147" s="1">
        <v>1001263</v>
      </c>
      <c r="E147" s="1" t="s">
        <v>108</v>
      </c>
      <c r="F147" s="1"/>
      <c r="G147" s="3">
        <v>1504.61</v>
      </c>
      <c r="H147" s="1">
        <v>72.5</v>
      </c>
      <c r="I147" s="5">
        <v>75.48</v>
      </c>
      <c r="J147" s="1">
        <f t="shared" si="18"/>
        <v>2.980000000000004</v>
      </c>
      <c r="K147" s="5">
        <f t="shared" ref="K147:K167" si="19">J147*G147</f>
        <v>4483.7378000000053</v>
      </c>
    </row>
    <row r="148" spans="2:11" x14ac:dyDescent="0.25">
      <c r="B148" s="1">
        <v>5000220554</v>
      </c>
      <c r="C148" s="1">
        <v>114</v>
      </c>
      <c r="D148" s="1">
        <v>1001263</v>
      </c>
      <c r="E148" s="1" t="s">
        <v>108</v>
      </c>
      <c r="F148" s="1"/>
      <c r="G148" s="1">
        <v>133</v>
      </c>
      <c r="H148" s="1">
        <v>72.5</v>
      </c>
      <c r="I148" s="5">
        <v>75.48</v>
      </c>
      <c r="J148" s="1">
        <f t="shared" si="18"/>
        <v>2.980000000000004</v>
      </c>
      <c r="K148" s="5">
        <f t="shared" si="19"/>
        <v>396.34000000000054</v>
      </c>
    </row>
    <row r="149" spans="2:11" x14ac:dyDescent="0.25">
      <c r="B149" s="1">
        <v>5000220554</v>
      </c>
      <c r="C149" s="1">
        <v>114</v>
      </c>
      <c r="D149" s="1">
        <v>1001263</v>
      </c>
      <c r="E149" s="1" t="s">
        <v>108</v>
      </c>
      <c r="F149" s="1"/>
      <c r="G149" s="2">
        <v>1896</v>
      </c>
      <c r="H149" s="1">
        <v>72.5</v>
      </c>
      <c r="I149" s="5">
        <v>75.48</v>
      </c>
      <c r="J149" s="1">
        <f t="shared" si="18"/>
        <v>2.980000000000004</v>
      </c>
      <c r="K149" s="5">
        <f t="shared" si="19"/>
        <v>5650.0800000000072</v>
      </c>
    </row>
    <row r="150" spans="2:11" x14ac:dyDescent="0.25">
      <c r="B150" s="1">
        <v>5000217407</v>
      </c>
      <c r="C150" s="1">
        <v>114</v>
      </c>
      <c r="D150" s="1">
        <v>1001263</v>
      </c>
      <c r="E150" s="1" t="s">
        <v>108</v>
      </c>
      <c r="F150" s="1"/>
      <c r="G150" s="3">
        <v>1496.34</v>
      </c>
      <c r="H150" s="1">
        <v>72.5</v>
      </c>
      <c r="I150" s="5">
        <v>75.48</v>
      </c>
      <c r="J150" s="1">
        <f t="shared" si="18"/>
        <v>2.980000000000004</v>
      </c>
      <c r="K150" s="5">
        <f t="shared" si="19"/>
        <v>4459.0932000000057</v>
      </c>
    </row>
    <row r="151" spans="2:11" x14ac:dyDescent="0.25">
      <c r="B151" s="1">
        <v>5000223924</v>
      </c>
      <c r="C151" s="1">
        <v>114</v>
      </c>
      <c r="D151" s="1">
        <v>1001401</v>
      </c>
      <c r="E151" s="1" t="s">
        <v>89</v>
      </c>
      <c r="F151" s="1"/>
      <c r="G151" s="1">
        <v>364.3</v>
      </c>
      <c r="H151" s="1">
        <v>72.5</v>
      </c>
      <c r="I151" s="5">
        <v>75.48</v>
      </c>
      <c r="J151" s="1">
        <f t="shared" si="18"/>
        <v>2.980000000000004</v>
      </c>
      <c r="K151" s="5">
        <f t="shared" si="19"/>
        <v>1085.6140000000014</v>
      </c>
    </row>
    <row r="152" spans="2:11" x14ac:dyDescent="0.25">
      <c r="B152" s="1">
        <v>5000223170</v>
      </c>
      <c r="C152" s="1">
        <v>114</v>
      </c>
      <c r="D152" s="1">
        <v>1001401</v>
      </c>
      <c r="E152" s="1" t="s">
        <v>89</v>
      </c>
      <c r="F152" s="1"/>
      <c r="G152" s="3">
        <v>2240.37</v>
      </c>
      <c r="H152" s="1">
        <v>72.5</v>
      </c>
      <c r="I152" s="5">
        <v>75.48</v>
      </c>
      <c r="J152" s="1">
        <f t="shared" si="18"/>
        <v>2.980000000000004</v>
      </c>
      <c r="K152" s="5">
        <f t="shared" si="19"/>
        <v>6676.3026000000082</v>
      </c>
    </row>
    <row r="153" spans="2:11" x14ac:dyDescent="0.25">
      <c r="B153" s="1">
        <v>5000222614</v>
      </c>
      <c r="C153" s="1">
        <v>114</v>
      </c>
      <c r="D153" s="1">
        <v>1001401</v>
      </c>
      <c r="E153" s="1" t="s">
        <v>89</v>
      </c>
      <c r="F153" s="1"/>
      <c r="G153" s="3">
        <v>2090.6999999999998</v>
      </c>
      <c r="H153" s="1">
        <v>72.5</v>
      </c>
      <c r="I153" s="5">
        <v>75.48</v>
      </c>
      <c r="J153" s="1">
        <f t="shared" si="18"/>
        <v>2.980000000000004</v>
      </c>
      <c r="K153" s="5">
        <f t="shared" si="19"/>
        <v>6230.2860000000073</v>
      </c>
    </row>
    <row r="154" spans="2:11" x14ac:dyDescent="0.25">
      <c r="B154" s="1">
        <v>5000221754</v>
      </c>
      <c r="C154" s="1">
        <v>114</v>
      </c>
      <c r="D154" s="1">
        <v>1001401</v>
      </c>
      <c r="E154" s="1" t="s">
        <v>89</v>
      </c>
      <c r="F154" s="1"/>
      <c r="G154" s="1">
        <v>968.49</v>
      </c>
      <c r="H154" s="1">
        <v>72.5</v>
      </c>
      <c r="I154" s="5">
        <v>75.48</v>
      </c>
      <c r="J154" s="1">
        <f t="shared" si="18"/>
        <v>2.980000000000004</v>
      </c>
      <c r="K154" s="5">
        <f t="shared" si="19"/>
        <v>2886.100200000004</v>
      </c>
    </row>
    <row r="155" spans="2:11" x14ac:dyDescent="0.25">
      <c r="B155" s="1">
        <v>5000220554</v>
      </c>
      <c r="C155" s="1">
        <v>114</v>
      </c>
      <c r="D155" s="1">
        <v>1001401</v>
      </c>
      <c r="E155" s="1" t="s">
        <v>89</v>
      </c>
      <c r="F155" s="1"/>
      <c r="G155" s="3">
        <v>1098.9100000000001</v>
      </c>
      <c r="H155" s="1">
        <v>72.5</v>
      </c>
      <c r="I155" s="5">
        <v>75.48</v>
      </c>
      <c r="J155" s="1">
        <f t="shared" si="18"/>
        <v>2.980000000000004</v>
      </c>
      <c r="K155" s="5">
        <f t="shared" si="19"/>
        <v>3274.7518000000046</v>
      </c>
    </row>
    <row r="156" spans="2:11" x14ac:dyDescent="0.25">
      <c r="B156" s="1">
        <v>5000220554</v>
      </c>
      <c r="C156" s="1">
        <v>114</v>
      </c>
      <c r="D156" s="1">
        <v>1001401</v>
      </c>
      <c r="E156" s="1" t="s">
        <v>89</v>
      </c>
      <c r="F156" s="1"/>
      <c r="G156" s="1">
        <v>300</v>
      </c>
      <c r="H156" s="1">
        <v>72.5</v>
      </c>
      <c r="I156" s="5">
        <v>75.48</v>
      </c>
      <c r="J156" s="1">
        <f t="shared" si="18"/>
        <v>2.980000000000004</v>
      </c>
      <c r="K156" s="5">
        <f t="shared" si="19"/>
        <v>894.00000000000114</v>
      </c>
    </row>
    <row r="157" spans="2:11" x14ac:dyDescent="0.25">
      <c r="B157" s="1">
        <v>5000220554</v>
      </c>
      <c r="C157" s="1">
        <v>114</v>
      </c>
      <c r="D157" s="1">
        <v>1001401</v>
      </c>
      <c r="E157" s="1" t="s">
        <v>89</v>
      </c>
      <c r="F157" s="1"/>
      <c r="G157" s="1">
        <v>35.090000000000003</v>
      </c>
      <c r="H157" s="1">
        <v>72.5</v>
      </c>
      <c r="I157" s="5">
        <v>75.48</v>
      </c>
      <c r="J157" s="1">
        <f t="shared" si="18"/>
        <v>2.980000000000004</v>
      </c>
      <c r="K157" s="5">
        <f t="shared" si="19"/>
        <v>104.56820000000015</v>
      </c>
    </row>
    <row r="158" spans="2:11" x14ac:dyDescent="0.25">
      <c r="B158" s="1">
        <v>5000218421</v>
      </c>
      <c r="C158" s="1">
        <v>114</v>
      </c>
      <c r="D158" s="1">
        <v>1001401</v>
      </c>
      <c r="E158" s="1" t="s">
        <v>89</v>
      </c>
      <c r="F158" s="1"/>
      <c r="G158" s="3">
        <v>3458.3</v>
      </c>
      <c r="H158" s="1">
        <v>72.5</v>
      </c>
      <c r="I158" s="5">
        <v>75.48</v>
      </c>
      <c r="J158" s="1">
        <f t="shared" si="18"/>
        <v>2.980000000000004</v>
      </c>
      <c r="K158" s="5">
        <f t="shared" si="19"/>
        <v>10305.734000000015</v>
      </c>
    </row>
    <row r="159" spans="2:11" x14ac:dyDescent="0.25">
      <c r="B159" s="1">
        <v>5000222842</v>
      </c>
      <c r="C159" s="1">
        <v>114</v>
      </c>
      <c r="D159" s="1">
        <v>1001816</v>
      </c>
      <c r="E159" s="1" t="s">
        <v>158</v>
      </c>
      <c r="F159" s="1"/>
      <c r="G159" s="3">
        <v>2172.3000000000002</v>
      </c>
      <c r="H159" s="1">
        <v>72</v>
      </c>
      <c r="I159" s="5">
        <v>74.87</v>
      </c>
      <c r="J159" s="4">
        <f t="shared" si="18"/>
        <v>2.8700000000000045</v>
      </c>
      <c r="K159" s="5">
        <f t="shared" si="19"/>
        <v>6234.5010000000102</v>
      </c>
    </row>
    <row r="160" spans="2:11" x14ac:dyDescent="0.25">
      <c r="B160" s="1">
        <v>5000222614</v>
      </c>
      <c r="C160" s="1">
        <v>114</v>
      </c>
      <c r="D160" s="1">
        <v>1001886</v>
      </c>
      <c r="E160" s="1" t="s">
        <v>90</v>
      </c>
      <c r="F160" s="1"/>
      <c r="G160" s="1">
        <v>670</v>
      </c>
      <c r="H160" s="1">
        <v>72</v>
      </c>
      <c r="I160" s="5">
        <v>74.87</v>
      </c>
      <c r="J160" s="4">
        <f t="shared" si="18"/>
        <v>2.8700000000000045</v>
      </c>
      <c r="K160" s="5">
        <f t="shared" si="19"/>
        <v>1922.900000000003</v>
      </c>
    </row>
    <row r="161" spans="1:11" x14ac:dyDescent="0.25">
      <c r="B161" s="1">
        <v>5000222614</v>
      </c>
      <c r="C161" s="1">
        <v>114</v>
      </c>
      <c r="D161" s="1">
        <v>1001886</v>
      </c>
      <c r="E161" s="1" t="s">
        <v>90</v>
      </c>
      <c r="F161" s="1"/>
      <c r="G161" s="1">
        <v>349.5</v>
      </c>
      <c r="H161" s="1">
        <v>72</v>
      </c>
      <c r="I161" s="5">
        <v>74.87</v>
      </c>
      <c r="J161" s="4">
        <f t="shared" si="18"/>
        <v>2.8700000000000045</v>
      </c>
      <c r="K161" s="5">
        <f t="shared" si="19"/>
        <v>1003.0650000000016</v>
      </c>
    </row>
    <row r="162" spans="1:11" x14ac:dyDescent="0.25">
      <c r="B162" s="1">
        <v>5000217407</v>
      </c>
      <c r="C162" s="1">
        <v>114</v>
      </c>
      <c r="D162" s="1">
        <v>1001886</v>
      </c>
      <c r="E162" s="1" t="s">
        <v>90</v>
      </c>
      <c r="F162" s="1"/>
      <c r="G162" s="1">
        <v>507.53</v>
      </c>
      <c r="H162" s="1">
        <v>72</v>
      </c>
      <c r="I162" s="5">
        <v>74.87</v>
      </c>
      <c r="J162" s="4">
        <f t="shared" si="18"/>
        <v>2.8700000000000045</v>
      </c>
      <c r="K162" s="5">
        <f t="shared" si="19"/>
        <v>1456.6111000000021</v>
      </c>
    </row>
    <row r="163" spans="1:11" x14ac:dyDescent="0.25">
      <c r="B163" s="1">
        <v>5000217407</v>
      </c>
      <c r="C163" s="1">
        <v>114</v>
      </c>
      <c r="D163" s="1">
        <v>1001886</v>
      </c>
      <c r="E163" s="1" t="s">
        <v>90</v>
      </c>
      <c r="F163" s="1"/>
      <c r="G163" s="1">
        <v>3.64</v>
      </c>
      <c r="H163" s="1">
        <v>72</v>
      </c>
      <c r="I163" s="5">
        <v>74.87</v>
      </c>
      <c r="J163" s="4">
        <f t="shared" si="18"/>
        <v>2.8700000000000045</v>
      </c>
      <c r="K163" s="5">
        <f t="shared" si="19"/>
        <v>10.446800000000017</v>
      </c>
    </row>
    <row r="164" spans="1:11" x14ac:dyDescent="0.25">
      <c r="B164" s="1">
        <v>5000222236</v>
      </c>
      <c r="C164" s="1">
        <v>114</v>
      </c>
      <c r="D164" s="1">
        <v>1001934</v>
      </c>
      <c r="E164" s="1" t="s">
        <v>91</v>
      </c>
      <c r="F164" s="1"/>
      <c r="G164" s="1">
        <v>818.76</v>
      </c>
      <c r="H164" s="1">
        <v>72</v>
      </c>
      <c r="I164" s="5">
        <v>74.87</v>
      </c>
      <c r="J164" s="4">
        <f t="shared" si="18"/>
        <v>2.8700000000000045</v>
      </c>
      <c r="K164" s="5">
        <f t="shared" si="19"/>
        <v>2349.8412000000035</v>
      </c>
    </row>
    <row r="165" spans="1:11" x14ac:dyDescent="0.25">
      <c r="B165" s="1">
        <v>5000222236</v>
      </c>
      <c r="C165" s="1">
        <v>114</v>
      </c>
      <c r="D165" s="1">
        <v>1001934</v>
      </c>
      <c r="E165" s="1" t="s">
        <v>91</v>
      </c>
      <c r="F165" s="1"/>
      <c r="G165" s="2">
        <v>1336</v>
      </c>
      <c r="H165" s="1">
        <v>72</v>
      </c>
      <c r="I165" s="5">
        <v>74.87</v>
      </c>
      <c r="J165" s="4">
        <f t="shared" si="18"/>
        <v>2.8700000000000045</v>
      </c>
      <c r="K165" s="5">
        <f t="shared" si="19"/>
        <v>3834.3200000000061</v>
      </c>
    </row>
    <row r="166" spans="1:11" x14ac:dyDescent="0.25">
      <c r="B166" s="1">
        <v>5000222236</v>
      </c>
      <c r="C166" s="1">
        <v>114</v>
      </c>
      <c r="D166" s="1">
        <v>1001934</v>
      </c>
      <c r="E166" s="1" t="s">
        <v>91</v>
      </c>
      <c r="F166" s="1"/>
      <c r="G166" s="1">
        <v>111.24</v>
      </c>
      <c r="H166" s="1">
        <v>72</v>
      </c>
      <c r="I166" s="5">
        <v>74.87</v>
      </c>
      <c r="J166" s="4">
        <f t="shared" si="18"/>
        <v>2.8700000000000045</v>
      </c>
      <c r="K166" s="5">
        <f t="shared" si="19"/>
        <v>319.25880000000052</v>
      </c>
    </row>
    <row r="167" spans="1:11" x14ac:dyDescent="0.25">
      <c r="B167" s="1">
        <v>5000221754</v>
      </c>
      <c r="C167" s="1">
        <v>114</v>
      </c>
      <c r="D167" s="1">
        <v>1001934</v>
      </c>
      <c r="E167" s="1" t="s">
        <v>91</v>
      </c>
      <c r="F167" s="1"/>
      <c r="G167" s="3">
        <v>1049.44</v>
      </c>
      <c r="H167" s="1">
        <v>72</v>
      </c>
      <c r="I167" s="5">
        <v>74.87</v>
      </c>
      <c r="J167" s="4">
        <f t="shared" si="18"/>
        <v>2.8700000000000045</v>
      </c>
      <c r="K167" s="5">
        <f t="shared" si="19"/>
        <v>3011.8928000000051</v>
      </c>
    </row>
    <row r="168" spans="1:1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B169" s="1"/>
      <c r="C169" s="1"/>
      <c r="D169" s="1"/>
      <c r="E169" s="1"/>
      <c r="F169" s="1"/>
      <c r="G169" s="5">
        <f>SUM(G146:G167)</f>
        <v>24042.819999999996</v>
      </c>
      <c r="H169" s="1"/>
      <c r="I169" s="1"/>
      <c r="J169" s="5" t="s">
        <v>58</v>
      </c>
      <c r="K169" s="5">
        <f>SUM(K146:K167)</f>
        <v>70875.578500000076</v>
      </c>
    </row>
    <row r="171" spans="1:11" x14ac:dyDescent="0.25">
      <c r="A171" t="s">
        <v>203</v>
      </c>
    </row>
    <row r="173" spans="1:11" ht="45" x14ac:dyDescent="0.25">
      <c r="B173" s="1" t="s">
        <v>172</v>
      </c>
      <c r="C173" s="1" t="s">
        <v>168</v>
      </c>
      <c r="D173" s="1" t="s">
        <v>167</v>
      </c>
      <c r="E173" s="1" t="s">
        <v>169</v>
      </c>
      <c r="F173" s="1"/>
      <c r="G173" s="1" t="s">
        <v>22</v>
      </c>
      <c r="H173" s="1" t="s">
        <v>50</v>
      </c>
      <c r="I173" s="25" t="s">
        <v>216</v>
      </c>
      <c r="J173" s="1" t="s">
        <v>52</v>
      </c>
      <c r="K173" s="1" t="s">
        <v>21</v>
      </c>
    </row>
    <row r="174" spans="1:11" x14ac:dyDescent="0.25">
      <c r="B174" s="1">
        <v>5000223924</v>
      </c>
      <c r="C174" s="1">
        <v>114</v>
      </c>
      <c r="D174" s="1">
        <v>1001263</v>
      </c>
      <c r="E174" s="1" t="s">
        <v>108</v>
      </c>
      <c r="F174" s="1"/>
      <c r="G174" s="3">
        <v>1438.3</v>
      </c>
      <c r="H174" s="1">
        <v>72.5</v>
      </c>
      <c r="I174" s="5">
        <v>73.97</v>
      </c>
      <c r="J174" s="1">
        <f t="shared" ref="J174:J195" si="20">I174-H174</f>
        <v>1.4699999999999989</v>
      </c>
      <c r="K174" s="5">
        <f>J174*G174</f>
        <v>2114.3009999999981</v>
      </c>
    </row>
    <row r="175" spans="1:11" x14ac:dyDescent="0.25">
      <c r="B175" s="1">
        <v>5000221527</v>
      </c>
      <c r="C175" s="1">
        <v>114</v>
      </c>
      <c r="D175" s="1">
        <v>1001263</v>
      </c>
      <c r="E175" s="1" t="s">
        <v>108</v>
      </c>
      <c r="F175" s="1"/>
      <c r="G175" s="3">
        <v>1504.61</v>
      </c>
      <c r="H175" s="1">
        <v>72.5</v>
      </c>
      <c r="I175" s="5">
        <v>73.97</v>
      </c>
      <c r="J175" s="1">
        <f t="shared" si="20"/>
        <v>1.4699999999999989</v>
      </c>
      <c r="K175" s="5">
        <f t="shared" ref="K175:K195" si="21">J175*G175</f>
        <v>2211.7766999999981</v>
      </c>
    </row>
    <row r="176" spans="1:11" x14ac:dyDescent="0.25">
      <c r="B176" s="1">
        <v>5000220554</v>
      </c>
      <c r="C176" s="1">
        <v>114</v>
      </c>
      <c r="D176" s="1">
        <v>1001263</v>
      </c>
      <c r="E176" s="1" t="s">
        <v>108</v>
      </c>
      <c r="F176" s="1"/>
      <c r="G176" s="1">
        <v>133</v>
      </c>
      <c r="H176" s="1">
        <v>72.5</v>
      </c>
      <c r="I176" s="5">
        <v>73.97</v>
      </c>
      <c r="J176" s="1">
        <f t="shared" si="20"/>
        <v>1.4699999999999989</v>
      </c>
      <c r="K176" s="5">
        <f t="shared" si="21"/>
        <v>195.50999999999985</v>
      </c>
    </row>
    <row r="177" spans="2:11" x14ac:dyDescent="0.25">
      <c r="B177" s="1">
        <v>5000220554</v>
      </c>
      <c r="C177" s="1">
        <v>114</v>
      </c>
      <c r="D177" s="1">
        <v>1001263</v>
      </c>
      <c r="E177" s="1" t="s">
        <v>108</v>
      </c>
      <c r="F177" s="1"/>
      <c r="G177" s="2">
        <v>1896</v>
      </c>
      <c r="H177" s="1">
        <v>72.5</v>
      </c>
      <c r="I177" s="5">
        <v>73.97</v>
      </c>
      <c r="J177" s="1">
        <f t="shared" si="20"/>
        <v>1.4699999999999989</v>
      </c>
      <c r="K177" s="5">
        <f t="shared" si="21"/>
        <v>2787.1199999999981</v>
      </c>
    </row>
    <row r="178" spans="2:11" x14ac:dyDescent="0.25">
      <c r="B178" s="1">
        <v>5000217407</v>
      </c>
      <c r="C178" s="1">
        <v>114</v>
      </c>
      <c r="D178" s="1">
        <v>1001263</v>
      </c>
      <c r="E178" s="1" t="s">
        <v>108</v>
      </c>
      <c r="F178" s="1"/>
      <c r="G178" s="3">
        <v>1496.34</v>
      </c>
      <c r="H178" s="1">
        <v>72.5</v>
      </c>
      <c r="I178" s="5">
        <v>73.97</v>
      </c>
      <c r="J178" s="1">
        <f t="shared" si="20"/>
        <v>1.4699999999999989</v>
      </c>
      <c r="K178" s="5">
        <f t="shared" si="21"/>
        <v>2199.6197999999981</v>
      </c>
    </row>
    <row r="179" spans="2:11" x14ac:dyDescent="0.25">
      <c r="B179" s="1">
        <v>5000223924</v>
      </c>
      <c r="C179" s="1">
        <v>114</v>
      </c>
      <c r="D179" s="1">
        <v>1001401</v>
      </c>
      <c r="E179" s="1" t="s">
        <v>89</v>
      </c>
      <c r="F179" s="1"/>
      <c r="G179" s="1">
        <v>364.3</v>
      </c>
      <c r="H179" s="1">
        <v>72.5</v>
      </c>
      <c r="I179" s="5">
        <v>73.97</v>
      </c>
      <c r="J179" s="1">
        <f t="shared" si="20"/>
        <v>1.4699999999999989</v>
      </c>
      <c r="K179" s="5">
        <f t="shared" si="21"/>
        <v>535.52099999999962</v>
      </c>
    </row>
    <row r="180" spans="2:11" x14ac:dyDescent="0.25">
      <c r="B180" s="1">
        <v>5000223170</v>
      </c>
      <c r="C180" s="1">
        <v>114</v>
      </c>
      <c r="D180" s="1">
        <v>1001401</v>
      </c>
      <c r="E180" s="1" t="s">
        <v>89</v>
      </c>
      <c r="F180" s="1"/>
      <c r="G180" s="3">
        <v>2240.37</v>
      </c>
      <c r="H180" s="1">
        <v>72.5</v>
      </c>
      <c r="I180" s="5">
        <v>73.97</v>
      </c>
      <c r="J180" s="1">
        <f t="shared" si="20"/>
        <v>1.4699999999999989</v>
      </c>
      <c r="K180" s="5">
        <f t="shared" si="21"/>
        <v>3293.3438999999971</v>
      </c>
    </row>
    <row r="181" spans="2:11" x14ac:dyDescent="0.25">
      <c r="B181" s="1">
        <v>5000222614</v>
      </c>
      <c r="C181" s="1">
        <v>114</v>
      </c>
      <c r="D181" s="1">
        <v>1001401</v>
      </c>
      <c r="E181" s="1" t="s">
        <v>89</v>
      </c>
      <c r="F181" s="1"/>
      <c r="G181" s="3">
        <v>2090.6999999999998</v>
      </c>
      <c r="H181" s="1">
        <v>72.5</v>
      </c>
      <c r="I181" s="5">
        <v>73.97</v>
      </c>
      <c r="J181" s="1">
        <f t="shared" si="20"/>
        <v>1.4699999999999989</v>
      </c>
      <c r="K181" s="5">
        <f t="shared" si="21"/>
        <v>3073.3289999999974</v>
      </c>
    </row>
    <row r="182" spans="2:11" x14ac:dyDescent="0.25">
      <c r="B182" s="1">
        <v>5000221754</v>
      </c>
      <c r="C182" s="1">
        <v>114</v>
      </c>
      <c r="D182" s="1">
        <v>1001401</v>
      </c>
      <c r="E182" s="1" t="s">
        <v>89</v>
      </c>
      <c r="F182" s="1"/>
      <c r="G182" s="1">
        <v>968.49</v>
      </c>
      <c r="H182" s="1">
        <v>72.5</v>
      </c>
      <c r="I182" s="5">
        <v>73.97</v>
      </c>
      <c r="J182" s="1">
        <f t="shared" si="20"/>
        <v>1.4699999999999989</v>
      </c>
      <c r="K182" s="5">
        <f t="shared" si="21"/>
        <v>1423.6802999999989</v>
      </c>
    </row>
    <row r="183" spans="2:11" x14ac:dyDescent="0.25">
      <c r="B183" s="1">
        <v>5000220554</v>
      </c>
      <c r="C183" s="1">
        <v>114</v>
      </c>
      <c r="D183" s="1">
        <v>1001401</v>
      </c>
      <c r="E183" s="1" t="s">
        <v>89</v>
      </c>
      <c r="F183" s="1"/>
      <c r="G183" s="3">
        <v>1098.9100000000001</v>
      </c>
      <c r="H183" s="1">
        <v>72.5</v>
      </c>
      <c r="I183" s="5">
        <v>73.97</v>
      </c>
      <c r="J183" s="1">
        <f t="shared" si="20"/>
        <v>1.4699999999999989</v>
      </c>
      <c r="K183" s="5">
        <f t="shared" si="21"/>
        <v>1615.3976999999988</v>
      </c>
    </row>
    <row r="184" spans="2:11" x14ac:dyDescent="0.25">
      <c r="B184" s="1">
        <v>5000220554</v>
      </c>
      <c r="C184" s="1">
        <v>114</v>
      </c>
      <c r="D184" s="1">
        <v>1001401</v>
      </c>
      <c r="E184" s="1" t="s">
        <v>89</v>
      </c>
      <c r="F184" s="1"/>
      <c r="G184" s="1">
        <v>300</v>
      </c>
      <c r="H184" s="1">
        <v>72.5</v>
      </c>
      <c r="I184" s="5">
        <v>73.97</v>
      </c>
      <c r="J184" s="1">
        <f t="shared" si="20"/>
        <v>1.4699999999999989</v>
      </c>
      <c r="K184" s="5">
        <f t="shared" si="21"/>
        <v>440.99999999999966</v>
      </c>
    </row>
    <row r="185" spans="2:11" x14ac:dyDescent="0.25">
      <c r="B185" s="1">
        <v>5000220554</v>
      </c>
      <c r="C185" s="1">
        <v>114</v>
      </c>
      <c r="D185" s="1">
        <v>1001401</v>
      </c>
      <c r="E185" s="1" t="s">
        <v>89</v>
      </c>
      <c r="F185" s="1"/>
      <c r="G185" s="1">
        <v>35.090000000000003</v>
      </c>
      <c r="H185" s="1">
        <v>72.5</v>
      </c>
      <c r="I185" s="5">
        <v>73.97</v>
      </c>
      <c r="J185" s="1">
        <f t="shared" si="20"/>
        <v>1.4699999999999989</v>
      </c>
      <c r="K185" s="5">
        <f t="shared" si="21"/>
        <v>51.582299999999968</v>
      </c>
    </row>
    <row r="186" spans="2:11" x14ac:dyDescent="0.25">
      <c r="B186" s="1">
        <v>5000218421</v>
      </c>
      <c r="C186" s="1">
        <v>114</v>
      </c>
      <c r="D186" s="1">
        <v>1001401</v>
      </c>
      <c r="E186" s="1" t="s">
        <v>89</v>
      </c>
      <c r="F186" s="1"/>
      <c r="G186" s="3">
        <v>3458.3</v>
      </c>
      <c r="H186" s="1">
        <v>72.5</v>
      </c>
      <c r="I186" s="5">
        <v>73.97</v>
      </c>
      <c r="J186" s="1">
        <f t="shared" si="20"/>
        <v>1.4699999999999989</v>
      </c>
      <c r="K186" s="5">
        <f t="shared" si="21"/>
        <v>5083.7009999999964</v>
      </c>
    </row>
    <row r="187" spans="2:11" x14ac:dyDescent="0.25">
      <c r="B187" s="1">
        <v>5000222842</v>
      </c>
      <c r="C187" s="1">
        <v>114</v>
      </c>
      <c r="D187" s="1">
        <v>1001816</v>
      </c>
      <c r="E187" s="1" t="s">
        <v>158</v>
      </c>
      <c r="F187" s="1"/>
      <c r="G187" s="3">
        <v>2172.3000000000002</v>
      </c>
      <c r="H187" s="1">
        <v>72</v>
      </c>
      <c r="I187" s="5">
        <v>73.3</v>
      </c>
      <c r="J187" s="4">
        <f t="shared" si="20"/>
        <v>1.2999999999999972</v>
      </c>
      <c r="K187" s="5">
        <f t="shared" si="21"/>
        <v>2823.9899999999939</v>
      </c>
    </row>
    <row r="188" spans="2:11" x14ac:dyDescent="0.25">
      <c r="B188" s="1">
        <v>5000222614</v>
      </c>
      <c r="C188" s="1">
        <v>114</v>
      </c>
      <c r="D188" s="1">
        <v>1001886</v>
      </c>
      <c r="E188" s="1" t="s">
        <v>90</v>
      </c>
      <c r="F188" s="1"/>
      <c r="G188" s="1">
        <v>670</v>
      </c>
      <c r="H188" s="1">
        <v>72</v>
      </c>
      <c r="I188" s="5">
        <v>73.3</v>
      </c>
      <c r="J188" s="4">
        <f t="shared" si="20"/>
        <v>1.2999999999999972</v>
      </c>
      <c r="K188" s="5">
        <f t="shared" si="21"/>
        <v>870.99999999999807</v>
      </c>
    </row>
    <row r="189" spans="2:11" x14ac:dyDescent="0.25">
      <c r="B189" s="1">
        <v>5000222614</v>
      </c>
      <c r="C189" s="1">
        <v>114</v>
      </c>
      <c r="D189" s="1">
        <v>1001886</v>
      </c>
      <c r="E189" s="1" t="s">
        <v>90</v>
      </c>
      <c r="F189" s="1"/>
      <c r="G189" s="1">
        <v>349.5</v>
      </c>
      <c r="H189" s="1">
        <v>72</v>
      </c>
      <c r="I189" s="5">
        <v>73.3</v>
      </c>
      <c r="J189" s="4">
        <f t="shared" si="20"/>
        <v>1.2999999999999972</v>
      </c>
      <c r="K189" s="5">
        <f t="shared" si="21"/>
        <v>454.349999999999</v>
      </c>
    </row>
    <row r="190" spans="2:11" x14ac:dyDescent="0.25">
      <c r="B190" s="1">
        <v>5000217407</v>
      </c>
      <c r="C190" s="1">
        <v>114</v>
      </c>
      <c r="D190" s="1">
        <v>1001886</v>
      </c>
      <c r="E190" s="1" t="s">
        <v>90</v>
      </c>
      <c r="F190" s="1"/>
      <c r="G190" s="1">
        <v>507.53</v>
      </c>
      <c r="H190" s="1">
        <v>72</v>
      </c>
      <c r="I190" s="5">
        <v>73.3</v>
      </c>
      <c r="J190" s="4">
        <f t="shared" si="20"/>
        <v>1.2999999999999972</v>
      </c>
      <c r="K190" s="5">
        <f t="shared" si="21"/>
        <v>659.78899999999851</v>
      </c>
    </row>
    <row r="191" spans="2:11" x14ac:dyDescent="0.25">
      <c r="B191" s="1">
        <v>5000217407</v>
      </c>
      <c r="C191" s="1">
        <v>114</v>
      </c>
      <c r="D191" s="1">
        <v>1001886</v>
      </c>
      <c r="E191" s="1" t="s">
        <v>90</v>
      </c>
      <c r="F191" s="1"/>
      <c r="G191" s="1">
        <v>3.64</v>
      </c>
      <c r="H191" s="1">
        <v>72</v>
      </c>
      <c r="I191" s="5">
        <v>73.3</v>
      </c>
      <c r="J191" s="4">
        <f t="shared" si="20"/>
        <v>1.2999999999999972</v>
      </c>
      <c r="K191" s="5">
        <f t="shared" si="21"/>
        <v>4.7319999999999895</v>
      </c>
    </row>
    <row r="192" spans="2:11" x14ac:dyDescent="0.25">
      <c r="B192" s="1">
        <v>5000222236</v>
      </c>
      <c r="C192" s="1">
        <v>114</v>
      </c>
      <c r="D192" s="1">
        <v>1001934</v>
      </c>
      <c r="E192" s="1" t="s">
        <v>91</v>
      </c>
      <c r="F192" s="1"/>
      <c r="G192" s="1">
        <v>818.76</v>
      </c>
      <c r="H192" s="1">
        <v>72</v>
      </c>
      <c r="I192" s="5">
        <v>73.3</v>
      </c>
      <c r="J192" s="4">
        <f t="shared" si="20"/>
        <v>1.2999999999999972</v>
      </c>
      <c r="K192" s="5">
        <f t="shared" si="21"/>
        <v>1064.3879999999976</v>
      </c>
    </row>
    <row r="193" spans="1:11" x14ac:dyDescent="0.25">
      <c r="B193" s="1">
        <v>5000222236</v>
      </c>
      <c r="C193" s="1">
        <v>114</v>
      </c>
      <c r="D193" s="1">
        <v>1001934</v>
      </c>
      <c r="E193" s="1" t="s">
        <v>91</v>
      </c>
      <c r="F193" s="1"/>
      <c r="G193" s="2">
        <v>1336</v>
      </c>
      <c r="H193" s="1">
        <v>72</v>
      </c>
      <c r="I193" s="5">
        <v>73.3</v>
      </c>
      <c r="J193" s="4">
        <f t="shared" si="20"/>
        <v>1.2999999999999972</v>
      </c>
      <c r="K193" s="5">
        <f t="shared" si="21"/>
        <v>1736.7999999999961</v>
      </c>
    </row>
    <row r="194" spans="1:11" x14ac:dyDescent="0.25">
      <c r="B194" s="1">
        <v>5000222236</v>
      </c>
      <c r="C194" s="1">
        <v>114</v>
      </c>
      <c r="D194" s="1">
        <v>1001934</v>
      </c>
      <c r="E194" s="1" t="s">
        <v>91</v>
      </c>
      <c r="F194" s="1"/>
      <c r="G194" s="1">
        <v>111.24</v>
      </c>
      <c r="H194" s="1">
        <v>72</v>
      </c>
      <c r="I194" s="5">
        <v>73.3</v>
      </c>
      <c r="J194" s="4">
        <f t="shared" si="20"/>
        <v>1.2999999999999972</v>
      </c>
      <c r="K194" s="5">
        <f t="shared" si="21"/>
        <v>144.61199999999968</v>
      </c>
    </row>
    <row r="195" spans="1:11" x14ac:dyDescent="0.25">
      <c r="B195" s="1">
        <v>5000221754</v>
      </c>
      <c r="C195" s="1">
        <v>114</v>
      </c>
      <c r="D195" s="1">
        <v>1001934</v>
      </c>
      <c r="E195" s="1" t="s">
        <v>91</v>
      </c>
      <c r="F195" s="1"/>
      <c r="G195" s="3">
        <v>1049.44</v>
      </c>
      <c r="H195" s="1">
        <v>72</v>
      </c>
      <c r="I195" s="5">
        <v>73.3</v>
      </c>
      <c r="J195" s="4">
        <f t="shared" si="20"/>
        <v>1.2999999999999972</v>
      </c>
      <c r="K195" s="5">
        <f t="shared" si="21"/>
        <v>1364.271999999997</v>
      </c>
    </row>
    <row r="196" spans="1:1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B197" s="1"/>
      <c r="C197" s="1"/>
      <c r="D197" s="1"/>
      <c r="E197" s="1"/>
      <c r="F197" s="1"/>
      <c r="G197" s="5">
        <f>SUM(G174:G195)</f>
        <v>24042.819999999996</v>
      </c>
      <c r="H197" s="1"/>
      <c r="I197" s="1"/>
      <c r="J197" s="5" t="s">
        <v>58</v>
      </c>
      <c r="K197" s="5">
        <f>SUM(K174:K195)</f>
        <v>34149.815699999956</v>
      </c>
    </row>
    <row r="199" spans="1:11" x14ac:dyDescent="0.25">
      <c r="A199" s="36" t="s">
        <v>154</v>
      </c>
    </row>
    <row r="200" spans="1:11" ht="45" x14ac:dyDescent="0.25">
      <c r="A200" s="1"/>
      <c r="B200" s="1" t="s">
        <v>172</v>
      </c>
      <c r="C200" s="1" t="s">
        <v>168</v>
      </c>
      <c r="D200" s="1" t="s">
        <v>167</v>
      </c>
      <c r="E200" s="1" t="s">
        <v>169</v>
      </c>
      <c r="F200" s="1"/>
      <c r="G200" s="1" t="s">
        <v>22</v>
      </c>
      <c r="H200" s="1" t="s">
        <v>50</v>
      </c>
      <c r="I200" s="25" t="s">
        <v>216</v>
      </c>
      <c r="J200" s="4" t="s">
        <v>52</v>
      </c>
      <c r="K200" s="4" t="s">
        <v>21</v>
      </c>
    </row>
    <row r="201" spans="1:11" x14ac:dyDescent="0.25">
      <c r="A201" s="1"/>
      <c r="B201" s="1">
        <v>5000219168</v>
      </c>
      <c r="C201" s="1">
        <v>114</v>
      </c>
      <c r="D201" s="1">
        <v>1001263</v>
      </c>
      <c r="E201" s="1" t="s">
        <v>108</v>
      </c>
      <c r="F201" s="1"/>
      <c r="G201" s="1">
        <v>903.3</v>
      </c>
      <c r="H201" s="1">
        <v>73.900000000000006</v>
      </c>
      <c r="I201" s="4">
        <v>75.48</v>
      </c>
      <c r="J201" s="1">
        <f>I201-H201</f>
        <v>1.5799999999999983</v>
      </c>
      <c r="K201" s="1">
        <f>J201*G201</f>
        <v>1427.2139999999984</v>
      </c>
    </row>
    <row r="202" spans="1:11" x14ac:dyDescent="0.25">
      <c r="A202" s="1"/>
      <c r="B202" s="1">
        <v>5000221641</v>
      </c>
      <c r="C202" s="1">
        <v>114</v>
      </c>
      <c r="D202" s="1">
        <v>1001401</v>
      </c>
      <c r="E202" s="1" t="s">
        <v>89</v>
      </c>
      <c r="F202" s="1"/>
      <c r="G202" s="1">
        <v>494.6</v>
      </c>
      <c r="H202" s="1">
        <v>73.900000000000006</v>
      </c>
      <c r="I202" s="4">
        <v>75.48</v>
      </c>
      <c r="J202" s="1">
        <f t="shared" ref="J202:J207" si="22">I202-H202</f>
        <v>1.5799999999999983</v>
      </c>
      <c r="K202" s="1">
        <f t="shared" ref="K202:K207" si="23">J202*G202</f>
        <v>781.46799999999917</v>
      </c>
    </row>
    <row r="203" spans="1:11" x14ac:dyDescent="0.25">
      <c r="A203" s="1"/>
      <c r="B203" s="1">
        <v>5000221643</v>
      </c>
      <c r="C203" s="1">
        <v>114</v>
      </c>
      <c r="D203" s="1">
        <v>1001401</v>
      </c>
      <c r="E203" s="1" t="s">
        <v>89</v>
      </c>
      <c r="F203" s="1"/>
      <c r="G203" s="3">
        <v>1572.7</v>
      </c>
      <c r="H203" s="1">
        <v>73.900000000000006</v>
      </c>
      <c r="I203" s="4">
        <v>75.48</v>
      </c>
      <c r="J203" s="1">
        <f t="shared" si="22"/>
        <v>1.5799999999999983</v>
      </c>
      <c r="K203" s="1">
        <f t="shared" si="23"/>
        <v>2484.8659999999973</v>
      </c>
    </row>
    <row r="204" spans="1:11" x14ac:dyDescent="0.25">
      <c r="A204" s="1"/>
      <c r="B204" s="1">
        <v>5000219168</v>
      </c>
      <c r="C204" s="1">
        <v>114</v>
      </c>
      <c r="D204" s="1">
        <v>1001401</v>
      </c>
      <c r="E204" s="1" t="s">
        <v>89</v>
      </c>
      <c r="F204" s="1"/>
      <c r="G204" s="3">
        <v>3376.7</v>
      </c>
      <c r="H204" s="1">
        <v>73.900000000000006</v>
      </c>
      <c r="I204" s="4">
        <v>75.48</v>
      </c>
      <c r="J204" s="1">
        <f t="shared" si="22"/>
        <v>1.5799999999999983</v>
      </c>
      <c r="K204" s="1">
        <f t="shared" si="23"/>
        <v>5335.1859999999942</v>
      </c>
    </row>
    <row r="205" spans="1:11" x14ac:dyDescent="0.25">
      <c r="A205" s="1"/>
      <c r="B205" s="1">
        <v>5000223708</v>
      </c>
      <c r="C205" s="1">
        <v>114</v>
      </c>
      <c r="D205" s="1">
        <v>1001816</v>
      </c>
      <c r="E205" s="1" t="s">
        <v>158</v>
      </c>
      <c r="F205" s="1"/>
      <c r="G205" s="3">
        <v>1583.4</v>
      </c>
      <c r="H205" s="4">
        <v>73.45</v>
      </c>
      <c r="I205" s="4">
        <v>74.87</v>
      </c>
      <c r="J205" s="1">
        <f t="shared" si="22"/>
        <v>1.4200000000000017</v>
      </c>
      <c r="K205" s="1">
        <f t="shared" si="23"/>
        <v>2248.4280000000026</v>
      </c>
    </row>
    <row r="206" spans="1:11" x14ac:dyDescent="0.25">
      <c r="A206" s="1"/>
      <c r="B206" s="1">
        <v>5000222617</v>
      </c>
      <c r="C206" s="1">
        <v>114</v>
      </c>
      <c r="D206" s="1">
        <v>1001934</v>
      </c>
      <c r="E206" s="1" t="s">
        <v>91</v>
      </c>
      <c r="F206" s="1"/>
      <c r="G206" s="3">
        <v>1739.3</v>
      </c>
      <c r="H206" s="4">
        <v>73.45</v>
      </c>
      <c r="I206" s="4">
        <v>74.87</v>
      </c>
      <c r="J206" s="1">
        <f t="shared" si="22"/>
        <v>1.4200000000000017</v>
      </c>
      <c r="K206" s="1">
        <f t="shared" si="23"/>
        <v>2469.8060000000028</v>
      </c>
    </row>
    <row r="207" spans="1:11" x14ac:dyDescent="0.25">
      <c r="A207" s="1"/>
      <c r="B207" s="1">
        <v>5000221644</v>
      </c>
      <c r="C207" s="1">
        <v>114</v>
      </c>
      <c r="D207" s="1">
        <v>1002759</v>
      </c>
      <c r="E207" s="1" t="s">
        <v>215</v>
      </c>
      <c r="F207" s="1"/>
      <c r="G207" s="1">
        <v>451.6</v>
      </c>
      <c r="H207" s="4">
        <v>73.45</v>
      </c>
      <c r="I207" s="4">
        <v>74.87</v>
      </c>
      <c r="J207" s="1">
        <f t="shared" si="22"/>
        <v>1.4200000000000017</v>
      </c>
      <c r="K207" s="1">
        <f t="shared" si="23"/>
        <v>641.27200000000084</v>
      </c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>
        <f>SUM(G201:G208)</f>
        <v>10121.6</v>
      </c>
      <c r="H209" s="1"/>
      <c r="I209" s="1"/>
      <c r="J209" s="5" t="s">
        <v>58</v>
      </c>
      <c r="K209" s="5">
        <f>SUM(K201:K207)</f>
        <v>15388.239999999996</v>
      </c>
    </row>
    <row r="210" spans="1:11" x14ac:dyDescent="0.25">
      <c r="F210" t="s">
        <v>22</v>
      </c>
      <c r="G210" t="s">
        <v>256</v>
      </c>
    </row>
    <row r="211" spans="1:11" x14ac:dyDescent="0.25">
      <c r="E211" t="s">
        <v>255</v>
      </c>
      <c r="F211">
        <f>G209+G197</f>
        <v>34164.42</v>
      </c>
      <c r="G211">
        <f>K197+K209</f>
        <v>49538.055699999954</v>
      </c>
    </row>
    <row r="214" spans="1:11" x14ac:dyDescent="0.25">
      <c r="A214" t="s">
        <v>146</v>
      </c>
    </row>
    <row r="215" spans="1:11" x14ac:dyDescent="0.25">
      <c r="B215" s="1" t="s">
        <v>172</v>
      </c>
      <c r="C215" s="1" t="s">
        <v>168</v>
      </c>
      <c r="D215" s="1" t="s">
        <v>167</v>
      </c>
      <c r="E215" s="1" t="s">
        <v>169</v>
      </c>
      <c r="F215" s="1"/>
      <c r="G215" s="1" t="s">
        <v>22</v>
      </c>
      <c r="H215" s="1" t="s">
        <v>50</v>
      </c>
      <c r="I215" s="1" t="s">
        <v>192</v>
      </c>
      <c r="J215" s="1" t="s">
        <v>52</v>
      </c>
      <c r="K215" s="1" t="s">
        <v>21</v>
      </c>
    </row>
    <row r="216" spans="1:11" x14ac:dyDescent="0.25">
      <c r="B216" s="1">
        <v>5000220007</v>
      </c>
      <c r="C216" s="1">
        <v>114</v>
      </c>
      <c r="D216" s="1">
        <v>1000204</v>
      </c>
      <c r="E216" s="1" t="s">
        <v>131</v>
      </c>
      <c r="F216" s="1"/>
      <c r="G216" s="1">
        <v>204</v>
      </c>
      <c r="H216" s="1">
        <v>18.2</v>
      </c>
      <c r="I216" s="1">
        <v>19.649999999999999</v>
      </c>
      <c r="J216" s="1">
        <f>I216-H216</f>
        <v>1.4499999999999993</v>
      </c>
      <c r="K216" s="1">
        <f>J216*G216</f>
        <v>295.79999999999984</v>
      </c>
    </row>
    <row r="217" spans="1:11" x14ac:dyDescent="0.25">
      <c r="B217" s="1">
        <v>5000219628</v>
      </c>
      <c r="C217" s="1">
        <v>114</v>
      </c>
      <c r="D217" s="1">
        <v>1000204</v>
      </c>
      <c r="E217" s="1" t="s">
        <v>131</v>
      </c>
      <c r="F217" s="1"/>
      <c r="G217" s="2">
        <v>1440</v>
      </c>
      <c r="H217" s="1">
        <v>18.2</v>
      </c>
      <c r="I217" s="1">
        <v>19.649999999999999</v>
      </c>
      <c r="J217" s="1">
        <f t="shared" ref="J217:J280" si="24">I217-H217</f>
        <v>1.4499999999999993</v>
      </c>
      <c r="K217" s="1">
        <f t="shared" ref="K217:K280" si="25">J217*G217</f>
        <v>2087.9999999999991</v>
      </c>
    </row>
    <row r="218" spans="1:11" x14ac:dyDescent="0.25">
      <c r="B218" s="1">
        <v>5000218573</v>
      </c>
      <c r="C218" s="1">
        <v>114</v>
      </c>
      <c r="D218" s="1">
        <v>1000204</v>
      </c>
      <c r="E218" s="1" t="s">
        <v>131</v>
      </c>
      <c r="F218" s="1"/>
      <c r="G218" s="2">
        <v>1600</v>
      </c>
      <c r="H218" s="1">
        <v>18.2</v>
      </c>
      <c r="I218" s="1">
        <v>19.649999999999999</v>
      </c>
      <c r="J218" s="1">
        <f t="shared" si="24"/>
        <v>1.4499999999999993</v>
      </c>
      <c r="K218" s="1">
        <f t="shared" si="25"/>
        <v>2319.9999999999991</v>
      </c>
    </row>
    <row r="219" spans="1:11" x14ac:dyDescent="0.25">
      <c r="B219" s="1">
        <v>5000218797</v>
      </c>
      <c r="C219" s="1">
        <v>114</v>
      </c>
      <c r="D219" s="1">
        <v>1000204</v>
      </c>
      <c r="E219" s="1" t="s">
        <v>131</v>
      </c>
      <c r="F219" s="1"/>
      <c r="G219" s="1">
        <v>725</v>
      </c>
      <c r="H219" s="1">
        <v>18.2</v>
      </c>
      <c r="I219" s="1">
        <v>19.649999999999999</v>
      </c>
      <c r="J219" s="1">
        <f t="shared" si="24"/>
        <v>1.4499999999999993</v>
      </c>
      <c r="K219" s="1">
        <f t="shared" si="25"/>
        <v>1051.2499999999995</v>
      </c>
    </row>
    <row r="220" spans="1:11" x14ac:dyDescent="0.25">
      <c r="B220" s="1">
        <v>5000220907</v>
      </c>
      <c r="C220" s="1">
        <v>114</v>
      </c>
      <c r="D220" s="1">
        <v>1000205</v>
      </c>
      <c r="E220" s="1" t="s">
        <v>148</v>
      </c>
      <c r="F220" s="1"/>
      <c r="G220" s="1">
        <v>800</v>
      </c>
      <c r="H220" s="1">
        <v>16.55</v>
      </c>
      <c r="I220" s="1">
        <v>17.850000000000001</v>
      </c>
      <c r="J220" s="1">
        <f t="shared" si="24"/>
        <v>1.3000000000000007</v>
      </c>
      <c r="K220" s="1">
        <f t="shared" si="25"/>
        <v>1040.0000000000005</v>
      </c>
    </row>
    <row r="221" spans="1:11" x14ac:dyDescent="0.25">
      <c r="B221" s="1">
        <v>5000220908</v>
      </c>
      <c r="C221" s="1">
        <v>114</v>
      </c>
      <c r="D221" s="1">
        <v>1000205</v>
      </c>
      <c r="E221" s="1" t="s">
        <v>148</v>
      </c>
      <c r="F221" s="1"/>
      <c r="G221" s="1">
        <v>608</v>
      </c>
      <c r="H221" s="1">
        <v>16.55</v>
      </c>
      <c r="I221" s="1">
        <v>17.850000000000001</v>
      </c>
      <c r="J221" s="1">
        <f t="shared" si="24"/>
        <v>1.3000000000000007</v>
      </c>
      <c r="K221" s="1">
        <f t="shared" si="25"/>
        <v>790.40000000000043</v>
      </c>
    </row>
    <row r="222" spans="1:11" x14ac:dyDescent="0.25">
      <c r="B222" s="1">
        <v>5000220908</v>
      </c>
      <c r="C222" s="1">
        <v>114</v>
      </c>
      <c r="D222" s="1">
        <v>1000205</v>
      </c>
      <c r="E222" s="1" t="s">
        <v>148</v>
      </c>
      <c r="F222" s="1"/>
      <c r="G222" s="1">
        <v>336</v>
      </c>
      <c r="H222" s="1">
        <v>16.55</v>
      </c>
      <c r="I222" s="1">
        <v>17.850000000000001</v>
      </c>
      <c r="J222" s="1">
        <f t="shared" si="24"/>
        <v>1.3000000000000007</v>
      </c>
      <c r="K222" s="1">
        <f t="shared" si="25"/>
        <v>436.80000000000024</v>
      </c>
    </row>
    <row r="223" spans="1:11" x14ac:dyDescent="0.25">
      <c r="B223" s="1">
        <v>5000222152</v>
      </c>
      <c r="C223" s="1">
        <v>114</v>
      </c>
      <c r="D223" s="1">
        <v>1000209</v>
      </c>
      <c r="E223" s="1" t="s">
        <v>204</v>
      </c>
      <c r="F223" s="1"/>
      <c r="G223" s="1">
        <v>800</v>
      </c>
      <c r="H223" s="1">
        <v>16.399999999999999</v>
      </c>
      <c r="I223" s="1">
        <v>17.7</v>
      </c>
      <c r="J223" s="1">
        <f t="shared" si="24"/>
        <v>1.3000000000000007</v>
      </c>
      <c r="K223" s="1">
        <f t="shared" si="25"/>
        <v>1040.0000000000005</v>
      </c>
    </row>
    <row r="224" spans="1:11" x14ac:dyDescent="0.25">
      <c r="B224" s="1">
        <v>5000222152</v>
      </c>
      <c r="C224" s="1">
        <v>114</v>
      </c>
      <c r="D224" s="1">
        <v>1000209</v>
      </c>
      <c r="E224" s="1" t="s">
        <v>204</v>
      </c>
      <c r="F224" s="1"/>
      <c r="G224" s="1">
        <v>500</v>
      </c>
      <c r="H224" s="1">
        <v>16.399999999999999</v>
      </c>
      <c r="I224" s="1">
        <v>17.7</v>
      </c>
      <c r="J224" s="1">
        <f t="shared" si="24"/>
        <v>1.3000000000000007</v>
      </c>
      <c r="K224" s="1">
        <f t="shared" si="25"/>
        <v>650.00000000000034</v>
      </c>
    </row>
    <row r="225" spans="2:11" x14ac:dyDescent="0.25">
      <c r="B225" s="1">
        <v>5000222166</v>
      </c>
      <c r="C225" s="1">
        <v>114</v>
      </c>
      <c r="D225" s="1">
        <v>1000209</v>
      </c>
      <c r="E225" s="1" t="s">
        <v>204</v>
      </c>
      <c r="F225" s="1"/>
      <c r="G225" s="1">
        <v>313</v>
      </c>
      <c r="H225" s="1">
        <v>16.399999999999999</v>
      </c>
      <c r="I225" s="1">
        <v>17.7</v>
      </c>
      <c r="J225" s="1">
        <f t="shared" si="24"/>
        <v>1.3000000000000007</v>
      </c>
      <c r="K225" s="1">
        <f t="shared" si="25"/>
        <v>406.9000000000002</v>
      </c>
    </row>
    <row r="226" spans="2:11" x14ac:dyDescent="0.25">
      <c r="B226" s="1">
        <v>5000222907</v>
      </c>
      <c r="C226" s="1">
        <v>114</v>
      </c>
      <c r="D226" s="1">
        <v>1000211</v>
      </c>
      <c r="E226" s="1" t="s">
        <v>132</v>
      </c>
      <c r="F226" s="1"/>
      <c r="G226" s="1">
        <v>680</v>
      </c>
      <c r="H226" s="1">
        <v>17.350000000000001</v>
      </c>
      <c r="I226" s="1">
        <v>18.7</v>
      </c>
      <c r="J226" s="1">
        <f t="shared" si="24"/>
        <v>1.3499999999999979</v>
      </c>
      <c r="K226" s="1">
        <f t="shared" si="25"/>
        <v>917.99999999999852</v>
      </c>
    </row>
    <row r="227" spans="2:11" x14ac:dyDescent="0.25">
      <c r="B227" s="1">
        <v>5000222615</v>
      </c>
      <c r="C227" s="1">
        <v>114</v>
      </c>
      <c r="D227" s="1">
        <v>1000211</v>
      </c>
      <c r="E227" s="1" t="s">
        <v>132</v>
      </c>
      <c r="F227" s="1"/>
      <c r="G227" s="2">
        <v>1300</v>
      </c>
      <c r="H227" s="1">
        <v>17.350000000000001</v>
      </c>
      <c r="I227" s="1">
        <v>18.7</v>
      </c>
      <c r="J227" s="1">
        <f t="shared" si="24"/>
        <v>1.3499999999999979</v>
      </c>
      <c r="K227" s="1">
        <f t="shared" si="25"/>
        <v>1754.9999999999973</v>
      </c>
    </row>
    <row r="228" spans="2:11" x14ac:dyDescent="0.25">
      <c r="B228" s="1">
        <v>5000222248</v>
      </c>
      <c r="C228" s="1">
        <v>114</v>
      </c>
      <c r="D228" s="1">
        <v>1000211</v>
      </c>
      <c r="E228" s="1" t="s">
        <v>132</v>
      </c>
      <c r="F228" s="1"/>
      <c r="G228" s="2">
        <v>1360</v>
      </c>
      <c r="H228" s="1">
        <v>17.350000000000001</v>
      </c>
      <c r="I228" s="1">
        <v>18.7</v>
      </c>
      <c r="J228" s="1">
        <f t="shared" si="24"/>
        <v>1.3499999999999979</v>
      </c>
      <c r="K228" s="1">
        <f t="shared" si="25"/>
        <v>1835.999999999997</v>
      </c>
    </row>
    <row r="229" spans="2:11" x14ac:dyDescent="0.25">
      <c r="B229" s="1">
        <v>5000222249</v>
      </c>
      <c r="C229" s="1">
        <v>114</v>
      </c>
      <c r="D229" s="1">
        <v>1000211</v>
      </c>
      <c r="E229" s="1" t="s">
        <v>132</v>
      </c>
      <c r="F229" s="1"/>
      <c r="G229" s="1">
        <v>550</v>
      </c>
      <c r="H229" s="1">
        <v>17.350000000000001</v>
      </c>
      <c r="I229" s="1">
        <v>18.7</v>
      </c>
      <c r="J229" s="1">
        <f t="shared" si="24"/>
        <v>1.3499999999999979</v>
      </c>
      <c r="K229" s="1">
        <f t="shared" si="25"/>
        <v>742.49999999999886</v>
      </c>
    </row>
    <row r="230" spans="2:11" x14ac:dyDescent="0.25">
      <c r="B230" s="1">
        <v>5000222249</v>
      </c>
      <c r="C230" s="1">
        <v>114</v>
      </c>
      <c r="D230" s="1">
        <v>1000211</v>
      </c>
      <c r="E230" s="1" t="s">
        <v>132</v>
      </c>
      <c r="F230" s="1"/>
      <c r="G230" s="1">
        <v>570</v>
      </c>
      <c r="H230" s="1">
        <v>17.350000000000001</v>
      </c>
      <c r="I230" s="1">
        <v>18.7</v>
      </c>
      <c r="J230" s="1">
        <f t="shared" si="24"/>
        <v>1.3499999999999979</v>
      </c>
      <c r="K230" s="1">
        <f t="shared" si="25"/>
        <v>769.49999999999875</v>
      </c>
    </row>
    <row r="231" spans="2:11" x14ac:dyDescent="0.25">
      <c r="B231" s="1">
        <v>5000222154</v>
      </c>
      <c r="C231" s="1">
        <v>114</v>
      </c>
      <c r="D231" s="1">
        <v>1000211</v>
      </c>
      <c r="E231" s="1" t="s">
        <v>132</v>
      </c>
      <c r="F231" s="1"/>
      <c r="G231" s="2">
        <v>1300</v>
      </c>
      <c r="H231" s="1">
        <v>17.350000000000001</v>
      </c>
      <c r="I231" s="1">
        <v>18.7</v>
      </c>
      <c r="J231" s="1">
        <f t="shared" si="24"/>
        <v>1.3499999999999979</v>
      </c>
      <c r="K231" s="1">
        <f t="shared" si="25"/>
        <v>1754.9999999999973</v>
      </c>
    </row>
    <row r="232" spans="2:11" x14ac:dyDescent="0.25">
      <c r="B232" s="1">
        <v>5000222165</v>
      </c>
      <c r="C232" s="1">
        <v>114</v>
      </c>
      <c r="D232" s="1">
        <v>1000211</v>
      </c>
      <c r="E232" s="1" t="s">
        <v>132</v>
      </c>
      <c r="F232" s="1"/>
      <c r="G232" s="2">
        <v>1400</v>
      </c>
      <c r="H232" s="1">
        <v>17.350000000000001</v>
      </c>
      <c r="I232" s="1">
        <v>18.7</v>
      </c>
      <c r="J232" s="1">
        <f t="shared" si="24"/>
        <v>1.3499999999999979</v>
      </c>
      <c r="K232" s="1">
        <f t="shared" si="25"/>
        <v>1889.999999999997</v>
      </c>
    </row>
    <row r="233" spans="2:11" x14ac:dyDescent="0.25">
      <c r="B233" s="1">
        <v>5000222166</v>
      </c>
      <c r="C233" s="1">
        <v>114</v>
      </c>
      <c r="D233" s="1">
        <v>1000211</v>
      </c>
      <c r="E233" s="1" t="s">
        <v>132</v>
      </c>
      <c r="F233" s="1"/>
      <c r="G233" s="1">
        <v>380</v>
      </c>
      <c r="H233" s="1">
        <v>17.350000000000001</v>
      </c>
      <c r="I233" s="1">
        <v>18.7</v>
      </c>
      <c r="J233" s="1">
        <f t="shared" si="24"/>
        <v>1.3499999999999979</v>
      </c>
      <c r="K233" s="1">
        <f t="shared" si="25"/>
        <v>512.9999999999992</v>
      </c>
    </row>
    <row r="234" spans="2:11" x14ac:dyDescent="0.25">
      <c r="B234" s="1">
        <v>5000221720</v>
      </c>
      <c r="C234" s="1">
        <v>114</v>
      </c>
      <c r="D234" s="1">
        <v>1000211</v>
      </c>
      <c r="E234" s="1" t="s">
        <v>132</v>
      </c>
      <c r="F234" s="1"/>
      <c r="G234" s="1">
        <v>420</v>
      </c>
      <c r="H234" s="1">
        <v>17.350000000000001</v>
      </c>
      <c r="I234" s="1">
        <v>18.7</v>
      </c>
      <c r="J234" s="1">
        <f t="shared" si="24"/>
        <v>1.3499999999999979</v>
      </c>
      <c r="K234" s="1">
        <f t="shared" si="25"/>
        <v>566.99999999999909</v>
      </c>
    </row>
    <row r="235" spans="2:11" x14ac:dyDescent="0.25">
      <c r="B235" s="1">
        <v>5000221752</v>
      </c>
      <c r="C235" s="1">
        <v>114</v>
      </c>
      <c r="D235" s="1">
        <v>1000211</v>
      </c>
      <c r="E235" s="1" t="s">
        <v>132</v>
      </c>
      <c r="F235" s="1"/>
      <c r="G235" s="2">
        <v>1200</v>
      </c>
      <c r="H235" s="1">
        <v>17.350000000000001</v>
      </c>
      <c r="I235" s="1">
        <v>18.7</v>
      </c>
      <c r="J235" s="1">
        <f t="shared" si="24"/>
        <v>1.3499999999999979</v>
      </c>
      <c r="K235" s="1">
        <f t="shared" si="25"/>
        <v>1619.9999999999975</v>
      </c>
    </row>
    <row r="236" spans="2:11" x14ac:dyDescent="0.25">
      <c r="B236" s="1">
        <v>5000221821</v>
      </c>
      <c r="C236" s="1">
        <v>114</v>
      </c>
      <c r="D236" s="1">
        <v>1000211</v>
      </c>
      <c r="E236" s="1" t="s">
        <v>132</v>
      </c>
      <c r="F236" s="1"/>
      <c r="G236" s="1">
        <v>869</v>
      </c>
      <c r="H236" s="1">
        <v>17.350000000000001</v>
      </c>
      <c r="I236" s="1">
        <v>18.7</v>
      </c>
      <c r="J236" s="1">
        <f t="shared" si="24"/>
        <v>1.3499999999999979</v>
      </c>
      <c r="K236" s="1">
        <f t="shared" si="25"/>
        <v>1173.149999999998</v>
      </c>
    </row>
    <row r="237" spans="2:11" x14ac:dyDescent="0.25">
      <c r="B237" s="1">
        <v>5000218191</v>
      </c>
      <c r="C237" s="1">
        <v>114</v>
      </c>
      <c r="D237" s="1">
        <v>1000211</v>
      </c>
      <c r="E237" s="1" t="s">
        <v>132</v>
      </c>
      <c r="F237" s="1"/>
      <c r="G237" s="1">
        <v>632</v>
      </c>
      <c r="H237" s="1">
        <v>17.350000000000001</v>
      </c>
      <c r="I237" s="1">
        <v>18.7</v>
      </c>
      <c r="J237" s="1">
        <f t="shared" si="24"/>
        <v>1.3499999999999979</v>
      </c>
      <c r="K237" s="1">
        <f t="shared" si="25"/>
        <v>853.19999999999868</v>
      </c>
    </row>
    <row r="238" spans="2:11" x14ac:dyDescent="0.25">
      <c r="B238" s="1">
        <v>5000218192</v>
      </c>
      <c r="C238" s="1">
        <v>114</v>
      </c>
      <c r="D238" s="1">
        <v>1000211</v>
      </c>
      <c r="E238" s="1" t="s">
        <v>132</v>
      </c>
      <c r="F238" s="1"/>
      <c r="G238" s="2">
        <v>1360</v>
      </c>
      <c r="H238" s="1">
        <v>17.350000000000001</v>
      </c>
      <c r="I238" s="1">
        <v>18.7</v>
      </c>
      <c r="J238" s="1">
        <f t="shared" si="24"/>
        <v>1.3499999999999979</v>
      </c>
      <c r="K238" s="1">
        <f t="shared" si="25"/>
        <v>1835.999999999997</v>
      </c>
    </row>
    <row r="239" spans="2:11" x14ac:dyDescent="0.25">
      <c r="B239" s="1">
        <v>5000223129</v>
      </c>
      <c r="C239" s="1">
        <v>114</v>
      </c>
      <c r="D239" s="1">
        <v>1001640</v>
      </c>
      <c r="E239" s="1" t="s">
        <v>135</v>
      </c>
      <c r="F239" s="1"/>
      <c r="G239" s="2">
        <v>2080</v>
      </c>
      <c r="H239" s="1">
        <v>11.05</v>
      </c>
      <c r="I239" s="1">
        <v>11.9</v>
      </c>
      <c r="J239" s="1">
        <f t="shared" si="24"/>
        <v>0.84999999999999964</v>
      </c>
      <c r="K239" s="1">
        <f t="shared" si="25"/>
        <v>1767.9999999999993</v>
      </c>
    </row>
    <row r="240" spans="2:11" x14ac:dyDescent="0.25">
      <c r="B240" s="1">
        <v>5000222870</v>
      </c>
      <c r="C240" s="1">
        <v>114</v>
      </c>
      <c r="D240" s="1">
        <v>1001640</v>
      </c>
      <c r="E240" s="1" t="s">
        <v>135</v>
      </c>
      <c r="F240" s="1"/>
      <c r="G240" s="2">
        <v>1880</v>
      </c>
      <c r="H240" s="1">
        <v>11.05</v>
      </c>
      <c r="I240" s="1">
        <v>11.9</v>
      </c>
      <c r="J240" s="1">
        <f t="shared" si="24"/>
        <v>0.84999999999999964</v>
      </c>
      <c r="K240" s="1">
        <f t="shared" si="25"/>
        <v>1597.9999999999993</v>
      </c>
    </row>
    <row r="241" spans="2:11" x14ac:dyDescent="0.25">
      <c r="B241" s="1">
        <v>5000221821</v>
      </c>
      <c r="C241" s="1">
        <v>114</v>
      </c>
      <c r="D241" s="1">
        <v>1001640</v>
      </c>
      <c r="E241" s="1" t="s">
        <v>135</v>
      </c>
      <c r="F241" s="1"/>
      <c r="G241" s="1">
        <v>900</v>
      </c>
      <c r="H241" s="1">
        <v>11.05</v>
      </c>
      <c r="I241" s="1">
        <v>11.9</v>
      </c>
      <c r="J241" s="1">
        <f t="shared" si="24"/>
        <v>0.84999999999999964</v>
      </c>
      <c r="K241" s="1">
        <f t="shared" si="25"/>
        <v>764.99999999999966</v>
      </c>
    </row>
    <row r="242" spans="2:11" x14ac:dyDescent="0.25">
      <c r="B242" s="1">
        <v>5000221569</v>
      </c>
      <c r="C242" s="1">
        <v>114</v>
      </c>
      <c r="D242" s="1">
        <v>1001640</v>
      </c>
      <c r="E242" s="1" t="s">
        <v>135</v>
      </c>
      <c r="F242" s="1"/>
      <c r="G242" s="1">
        <v>596</v>
      </c>
      <c r="H242" s="1">
        <v>11.05</v>
      </c>
      <c r="I242" s="1">
        <v>11.9</v>
      </c>
      <c r="J242" s="1">
        <f t="shared" si="24"/>
        <v>0.84999999999999964</v>
      </c>
      <c r="K242" s="1">
        <f t="shared" si="25"/>
        <v>506.5999999999998</v>
      </c>
    </row>
    <row r="243" spans="2:11" x14ac:dyDescent="0.25">
      <c r="B243" s="1">
        <v>5000223981</v>
      </c>
      <c r="C243" s="1">
        <v>114</v>
      </c>
      <c r="D243" s="1">
        <v>1001773</v>
      </c>
      <c r="E243" s="1" t="s">
        <v>136</v>
      </c>
      <c r="F243" s="1"/>
      <c r="G243" s="2">
        <v>1295</v>
      </c>
      <c r="H243" s="1">
        <v>16.25</v>
      </c>
      <c r="I243" s="1">
        <v>17.55</v>
      </c>
      <c r="J243" s="1">
        <f t="shared" si="24"/>
        <v>1.3000000000000007</v>
      </c>
      <c r="K243" s="1">
        <f t="shared" si="25"/>
        <v>1683.5000000000009</v>
      </c>
    </row>
    <row r="244" spans="2:11" x14ac:dyDescent="0.25">
      <c r="B244" s="1">
        <v>5000223601</v>
      </c>
      <c r="C244" s="1">
        <v>114</v>
      </c>
      <c r="D244" s="1">
        <v>1001773</v>
      </c>
      <c r="E244" s="1" t="s">
        <v>136</v>
      </c>
      <c r="F244" s="1"/>
      <c r="G244" s="2">
        <v>1400</v>
      </c>
      <c r="H244" s="1">
        <v>16.25</v>
      </c>
      <c r="I244" s="1">
        <v>17.55</v>
      </c>
      <c r="J244" s="1">
        <f t="shared" si="24"/>
        <v>1.3000000000000007</v>
      </c>
      <c r="K244" s="1">
        <f t="shared" si="25"/>
        <v>1820.0000000000009</v>
      </c>
    </row>
    <row r="245" spans="2:11" x14ac:dyDescent="0.25">
      <c r="B245" s="1">
        <v>5000223572</v>
      </c>
      <c r="C245" s="1">
        <v>114</v>
      </c>
      <c r="D245" s="1">
        <v>1001773</v>
      </c>
      <c r="E245" s="1" t="s">
        <v>136</v>
      </c>
      <c r="F245" s="1"/>
      <c r="G245" s="2">
        <v>1400</v>
      </c>
      <c r="H245" s="1">
        <v>16.25</v>
      </c>
      <c r="I245" s="1">
        <v>17.55</v>
      </c>
      <c r="J245" s="1">
        <f t="shared" si="24"/>
        <v>1.3000000000000007</v>
      </c>
      <c r="K245" s="1">
        <f t="shared" si="25"/>
        <v>1820.0000000000009</v>
      </c>
    </row>
    <row r="246" spans="2:11" x14ac:dyDescent="0.25">
      <c r="B246" s="1">
        <v>5000221569</v>
      </c>
      <c r="C246" s="1">
        <v>114</v>
      </c>
      <c r="D246" s="1">
        <v>1001773</v>
      </c>
      <c r="E246" s="1" t="s">
        <v>136</v>
      </c>
      <c r="F246" s="1"/>
      <c r="G246" s="2">
        <v>1020</v>
      </c>
      <c r="H246" s="1">
        <v>16.25</v>
      </c>
      <c r="I246" s="1">
        <v>17.55</v>
      </c>
      <c r="J246" s="1">
        <f t="shared" si="24"/>
        <v>1.3000000000000007</v>
      </c>
      <c r="K246" s="1">
        <f t="shared" si="25"/>
        <v>1326.0000000000007</v>
      </c>
    </row>
    <row r="247" spans="2:11" x14ac:dyDescent="0.25">
      <c r="B247" s="1">
        <v>5000221566</v>
      </c>
      <c r="C247" s="1">
        <v>114</v>
      </c>
      <c r="D247" s="1">
        <v>1001773</v>
      </c>
      <c r="E247" s="1" t="s">
        <v>136</v>
      </c>
      <c r="F247" s="1"/>
      <c r="G247" s="2">
        <v>1197</v>
      </c>
      <c r="H247" s="1">
        <v>16.25</v>
      </c>
      <c r="I247" s="1">
        <v>17.55</v>
      </c>
      <c r="J247" s="1">
        <f t="shared" si="24"/>
        <v>1.3000000000000007</v>
      </c>
      <c r="K247" s="1">
        <f t="shared" si="25"/>
        <v>1556.1000000000008</v>
      </c>
    </row>
    <row r="248" spans="2:11" x14ac:dyDescent="0.25">
      <c r="B248" s="1">
        <v>5000221566</v>
      </c>
      <c r="C248" s="1">
        <v>114</v>
      </c>
      <c r="D248" s="1">
        <v>1001773</v>
      </c>
      <c r="E248" s="1" t="s">
        <v>136</v>
      </c>
      <c r="F248" s="1"/>
      <c r="G248" s="1">
        <v>203</v>
      </c>
      <c r="H248" s="1">
        <v>16.25</v>
      </c>
      <c r="I248" s="1">
        <v>17.55</v>
      </c>
      <c r="J248" s="1">
        <f t="shared" si="24"/>
        <v>1.3000000000000007</v>
      </c>
      <c r="K248" s="1">
        <f t="shared" si="25"/>
        <v>263.90000000000015</v>
      </c>
    </row>
    <row r="249" spans="2:11" x14ac:dyDescent="0.25">
      <c r="B249" s="1">
        <v>5000221333</v>
      </c>
      <c r="C249" s="1">
        <v>114</v>
      </c>
      <c r="D249" s="1">
        <v>1001773</v>
      </c>
      <c r="E249" s="1" t="s">
        <v>136</v>
      </c>
      <c r="F249" s="1"/>
      <c r="G249" s="2">
        <v>1026</v>
      </c>
      <c r="H249" s="1">
        <v>16.25</v>
      </c>
      <c r="I249" s="1">
        <v>17.55</v>
      </c>
      <c r="J249" s="1">
        <f t="shared" si="24"/>
        <v>1.3000000000000007</v>
      </c>
      <c r="K249" s="1">
        <f t="shared" si="25"/>
        <v>1333.8000000000006</v>
      </c>
    </row>
    <row r="250" spans="2:11" x14ac:dyDescent="0.25">
      <c r="B250" s="1">
        <v>5000221107</v>
      </c>
      <c r="C250" s="1">
        <v>114</v>
      </c>
      <c r="D250" s="1">
        <v>1001773</v>
      </c>
      <c r="E250" s="1" t="s">
        <v>136</v>
      </c>
      <c r="F250" s="1"/>
      <c r="G250" s="1">
        <v>754</v>
      </c>
      <c r="H250" s="1">
        <v>16.25</v>
      </c>
      <c r="I250" s="1">
        <v>17.55</v>
      </c>
      <c r="J250" s="1">
        <f t="shared" si="24"/>
        <v>1.3000000000000007</v>
      </c>
      <c r="K250" s="1">
        <f t="shared" si="25"/>
        <v>980.2000000000005</v>
      </c>
    </row>
    <row r="251" spans="2:11" x14ac:dyDescent="0.25">
      <c r="B251" s="1">
        <v>5000220908</v>
      </c>
      <c r="C251" s="1">
        <v>114</v>
      </c>
      <c r="D251" s="1">
        <v>1001773</v>
      </c>
      <c r="E251" s="1" t="s">
        <v>136</v>
      </c>
      <c r="F251" s="1"/>
      <c r="G251" s="1">
        <v>240</v>
      </c>
      <c r="H251" s="1">
        <v>16.25</v>
      </c>
      <c r="I251" s="1">
        <v>17.55</v>
      </c>
      <c r="J251" s="1">
        <f t="shared" si="24"/>
        <v>1.3000000000000007</v>
      </c>
      <c r="K251" s="1">
        <f t="shared" si="25"/>
        <v>312.00000000000017</v>
      </c>
    </row>
    <row r="252" spans="2:11" x14ac:dyDescent="0.25">
      <c r="B252" s="1">
        <v>5000220287</v>
      </c>
      <c r="C252" s="1">
        <v>114</v>
      </c>
      <c r="D252" s="1">
        <v>1001773</v>
      </c>
      <c r="E252" s="1" t="s">
        <v>136</v>
      </c>
      <c r="F252" s="1"/>
      <c r="G252" s="1">
        <v>820</v>
      </c>
      <c r="H252" s="1">
        <v>16.25</v>
      </c>
      <c r="I252" s="1">
        <v>17.55</v>
      </c>
      <c r="J252" s="1">
        <f t="shared" si="24"/>
        <v>1.3000000000000007</v>
      </c>
      <c r="K252" s="1">
        <f t="shared" si="25"/>
        <v>1066.0000000000007</v>
      </c>
    </row>
    <row r="253" spans="2:11" x14ac:dyDescent="0.25">
      <c r="B253" s="1">
        <v>5000220007</v>
      </c>
      <c r="C253" s="1">
        <v>114</v>
      </c>
      <c r="D253" s="1">
        <v>1001773</v>
      </c>
      <c r="E253" s="1" t="s">
        <v>136</v>
      </c>
      <c r="F253" s="1"/>
      <c r="G253" s="2">
        <v>1120</v>
      </c>
      <c r="H253" s="1">
        <v>16.25</v>
      </c>
      <c r="I253" s="1">
        <v>17.55</v>
      </c>
      <c r="J253" s="1">
        <f t="shared" si="24"/>
        <v>1.3000000000000007</v>
      </c>
      <c r="K253" s="1">
        <f t="shared" si="25"/>
        <v>1456.0000000000009</v>
      </c>
    </row>
    <row r="254" spans="2:11" x14ac:dyDescent="0.25">
      <c r="B254" s="1">
        <v>5000220008</v>
      </c>
      <c r="C254" s="1">
        <v>114</v>
      </c>
      <c r="D254" s="1">
        <v>1001773</v>
      </c>
      <c r="E254" s="1" t="s">
        <v>136</v>
      </c>
      <c r="F254" s="1"/>
      <c r="G254" s="2">
        <v>1400</v>
      </c>
      <c r="H254" s="1">
        <v>16.25</v>
      </c>
      <c r="I254" s="1">
        <v>17.55</v>
      </c>
      <c r="J254" s="1">
        <f t="shared" si="24"/>
        <v>1.3000000000000007</v>
      </c>
      <c r="K254" s="1">
        <f t="shared" si="25"/>
        <v>1820.0000000000009</v>
      </c>
    </row>
    <row r="255" spans="2:11" x14ac:dyDescent="0.25">
      <c r="B255" s="1">
        <v>5000219253</v>
      </c>
      <c r="C255" s="1">
        <v>114</v>
      </c>
      <c r="D255" s="1">
        <v>1001773</v>
      </c>
      <c r="E255" s="1" t="s">
        <v>136</v>
      </c>
      <c r="F255" s="1"/>
      <c r="G255" s="2">
        <v>1580</v>
      </c>
      <c r="H255" s="1">
        <v>16.25</v>
      </c>
      <c r="I255" s="1">
        <v>17.55</v>
      </c>
      <c r="J255" s="1">
        <f t="shared" si="24"/>
        <v>1.3000000000000007</v>
      </c>
      <c r="K255" s="1">
        <f t="shared" si="25"/>
        <v>2054.0000000000009</v>
      </c>
    </row>
    <row r="256" spans="2:11" x14ac:dyDescent="0.25">
      <c r="B256" s="1">
        <v>5000219353</v>
      </c>
      <c r="C256" s="1">
        <v>114</v>
      </c>
      <c r="D256" s="1">
        <v>1001773</v>
      </c>
      <c r="E256" s="1" t="s">
        <v>136</v>
      </c>
      <c r="F256" s="1"/>
      <c r="G256" s="1">
        <v>600</v>
      </c>
      <c r="H256" s="1">
        <v>16.25</v>
      </c>
      <c r="I256" s="1">
        <v>17.55</v>
      </c>
      <c r="J256" s="1">
        <f t="shared" si="24"/>
        <v>1.3000000000000007</v>
      </c>
      <c r="K256" s="1">
        <f t="shared" si="25"/>
        <v>780.00000000000045</v>
      </c>
    </row>
    <row r="257" spans="2:11" x14ac:dyDescent="0.25">
      <c r="B257" s="1">
        <v>5000218838</v>
      </c>
      <c r="C257" s="1">
        <v>114</v>
      </c>
      <c r="D257" s="1">
        <v>1001773</v>
      </c>
      <c r="E257" s="1" t="s">
        <v>136</v>
      </c>
      <c r="F257" s="1"/>
      <c r="G257" s="2">
        <v>1420</v>
      </c>
      <c r="H257" s="1">
        <v>16.25</v>
      </c>
      <c r="I257" s="1">
        <v>17.55</v>
      </c>
      <c r="J257" s="1">
        <f t="shared" si="24"/>
        <v>1.3000000000000007</v>
      </c>
      <c r="K257" s="1">
        <f t="shared" si="25"/>
        <v>1846.0000000000009</v>
      </c>
    </row>
    <row r="258" spans="2:11" x14ac:dyDescent="0.25">
      <c r="B258" s="1">
        <v>5000218841</v>
      </c>
      <c r="C258" s="1">
        <v>114</v>
      </c>
      <c r="D258" s="1">
        <v>1001773</v>
      </c>
      <c r="E258" s="1" t="s">
        <v>136</v>
      </c>
      <c r="F258" s="1"/>
      <c r="G258" s="2">
        <v>1568</v>
      </c>
      <c r="H258" s="1">
        <v>16.25</v>
      </c>
      <c r="I258" s="1">
        <v>17.55</v>
      </c>
      <c r="J258" s="1">
        <f t="shared" si="24"/>
        <v>1.3000000000000007</v>
      </c>
      <c r="K258" s="1">
        <f t="shared" si="25"/>
        <v>2038.400000000001</v>
      </c>
    </row>
    <row r="259" spans="2:11" x14ac:dyDescent="0.25">
      <c r="B259" s="1">
        <v>5000218305</v>
      </c>
      <c r="C259" s="1">
        <v>114</v>
      </c>
      <c r="D259" s="1">
        <v>1001773</v>
      </c>
      <c r="E259" s="1" t="s">
        <v>136</v>
      </c>
      <c r="F259" s="1"/>
      <c r="G259" s="2">
        <v>1300</v>
      </c>
      <c r="H259" s="1">
        <v>16.25</v>
      </c>
      <c r="I259" s="1">
        <v>17.55</v>
      </c>
      <c r="J259" s="1">
        <f t="shared" si="24"/>
        <v>1.3000000000000007</v>
      </c>
      <c r="K259" s="1">
        <f t="shared" si="25"/>
        <v>1690.0000000000009</v>
      </c>
    </row>
    <row r="260" spans="2:11" x14ac:dyDescent="0.25">
      <c r="B260" s="1">
        <v>5000221720</v>
      </c>
      <c r="C260" s="1">
        <v>114</v>
      </c>
      <c r="D260" s="1">
        <v>1001906</v>
      </c>
      <c r="E260" s="1" t="s">
        <v>137</v>
      </c>
      <c r="F260" s="1"/>
      <c r="G260" s="2">
        <v>1222</v>
      </c>
      <c r="H260" s="1">
        <v>15.15</v>
      </c>
      <c r="I260" s="1">
        <v>16.350000000000001</v>
      </c>
      <c r="J260" s="1">
        <f t="shared" si="24"/>
        <v>1.2000000000000011</v>
      </c>
      <c r="K260" s="1">
        <f t="shared" si="25"/>
        <v>1466.4000000000012</v>
      </c>
    </row>
    <row r="261" spans="2:11" x14ac:dyDescent="0.25">
      <c r="B261" s="1">
        <v>5000222588</v>
      </c>
      <c r="C261" s="1">
        <v>114</v>
      </c>
      <c r="D261" s="1">
        <v>1001908</v>
      </c>
      <c r="E261" s="1" t="s">
        <v>205</v>
      </c>
      <c r="F261" s="1"/>
      <c r="G261" s="2">
        <v>1172</v>
      </c>
      <c r="H261" s="1">
        <v>12.45</v>
      </c>
      <c r="I261" s="1">
        <v>13.4</v>
      </c>
      <c r="J261" s="1">
        <f t="shared" si="24"/>
        <v>0.95000000000000107</v>
      </c>
      <c r="K261" s="1">
        <f t="shared" si="25"/>
        <v>1113.4000000000012</v>
      </c>
    </row>
    <row r="262" spans="2:11" x14ac:dyDescent="0.25">
      <c r="B262" s="1">
        <v>5000224032</v>
      </c>
      <c r="C262" s="1">
        <v>114</v>
      </c>
      <c r="D262" s="1">
        <v>1001928</v>
      </c>
      <c r="E262" s="1" t="s">
        <v>138</v>
      </c>
      <c r="F262" s="1"/>
      <c r="G262" s="2">
        <v>1200</v>
      </c>
      <c r="H262" s="1">
        <v>16.55</v>
      </c>
      <c r="I262" s="1">
        <v>17.850000000000001</v>
      </c>
      <c r="J262" s="1">
        <f t="shared" si="24"/>
        <v>1.3000000000000007</v>
      </c>
      <c r="K262" s="1">
        <f t="shared" si="25"/>
        <v>1560.0000000000009</v>
      </c>
    </row>
    <row r="263" spans="2:11" x14ac:dyDescent="0.25">
      <c r="B263" s="1">
        <v>5000223533</v>
      </c>
      <c r="C263" s="1">
        <v>114</v>
      </c>
      <c r="D263" s="1">
        <v>1001928</v>
      </c>
      <c r="E263" s="1" t="s">
        <v>138</v>
      </c>
      <c r="F263" s="1"/>
      <c r="G263" s="1">
        <v>109</v>
      </c>
      <c r="H263" s="1">
        <v>16.55</v>
      </c>
      <c r="I263" s="1">
        <v>17.850000000000001</v>
      </c>
      <c r="J263" s="1">
        <f t="shared" si="24"/>
        <v>1.3000000000000007</v>
      </c>
      <c r="K263" s="1">
        <f t="shared" si="25"/>
        <v>141.70000000000007</v>
      </c>
    </row>
    <row r="264" spans="2:11" x14ac:dyDescent="0.25">
      <c r="B264" s="1">
        <v>5000223268</v>
      </c>
      <c r="C264" s="1">
        <v>114</v>
      </c>
      <c r="D264" s="1">
        <v>1001928</v>
      </c>
      <c r="E264" s="1" t="s">
        <v>138</v>
      </c>
      <c r="F264" s="1"/>
      <c r="G264" s="2">
        <v>1800</v>
      </c>
      <c r="H264" s="1">
        <v>16.55</v>
      </c>
      <c r="I264" s="1">
        <v>17.850000000000001</v>
      </c>
      <c r="J264" s="1">
        <f t="shared" si="24"/>
        <v>1.3000000000000007</v>
      </c>
      <c r="K264" s="1">
        <f t="shared" si="25"/>
        <v>2340.0000000000014</v>
      </c>
    </row>
    <row r="265" spans="2:11" x14ac:dyDescent="0.25">
      <c r="B265" s="1">
        <v>5000222449</v>
      </c>
      <c r="C265" s="1">
        <v>114</v>
      </c>
      <c r="D265" s="1">
        <v>1001928</v>
      </c>
      <c r="E265" s="1" t="s">
        <v>138</v>
      </c>
      <c r="F265" s="1"/>
      <c r="G265" s="1">
        <v>120</v>
      </c>
      <c r="H265" s="1">
        <v>16.55</v>
      </c>
      <c r="I265" s="1">
        <v>17.850000000000001</v>
      </c>
      <c r="J265" s="1">
        <f t="shared" si="24"/>
        <v>1.3000000000000007</v>
      </c>
      <c r="K265" s="1">
        <f t="shared" si="25"/>
        <v>156.00000000000009</v>
      </c>
    </row>
    <row r="266" spans="2:11" x14ac:dyDescent="0.25">
      <c r="B266" s="1">
        <v>5000222447</v>
      </c>
      <c r="C266" s="1">
        <v>114</v>
      </c>
      <c r="D266" s="1">
        <v>1001928</v>
      </c>
      <c r="E266" s="1" t="s">
        <v>138</v>
      </c>
      <c r="F266" s="1"/>
      <c r="G266" s="2">
        <v>1340</v>
      </c>
      <c r="H266" s="1">
        <v>16.55</v>
      </c>
      <c r="I266" s="1">
        <v>17.850000000000001</v>
      </c>
      <c r="J266" s="1">
        <f t="shared" si="24"/>
        <v>1.3000000000000007</v>
      </c>
      <c r="K266" s="1">
        <f t="shared" si="25"/>
        <v>1742.0000000000009</v>
      </c>
    </row>
    <row r="267" spans="2:11" x14ac:dyDescent="0.25">
      <c r="B267" s="1">
        <v>5000221107</v>
      </c>
      <c r="C267" s="1">
        <v>114</v>
      </c>
      <c r="D267" s="1">
        <v>1001928</v>
      </c>
      <c r="E267" s="1" t="s">
        <v>138</v>
      </c>
      <c r="F267" s="1"/>
      <c r="G267" s="1">
        <v>609</v>
      </c>
      <c r="H267" s="1">
        <v>16.55</v>
      </c>
      <c r="I267" s="1">
        <v>17.850000000000001</v>
      </c>
      <c r="J267" s="1">
        <f t="shared" si="24"/>
        <v>1.3000000000000007</v>
      </c>
      <c r="K267" s="1">
        <f t="shared" si="25"/>
        <v>791.70000000000039</v>
      </c>
    </row>
    <row r="268" spans="2:11" x14ac:dyDescent="0.25">
      <c r="B268" s="1">
        <v>5000220745</v>
      </c>
      <c r="C268" s="1">
        <v>114</v>
      </c>
      <c r="D268" s="1">
        <v>1001928</v>
      </c>
      <c r="E268" s="1" t="s">
        <v>138</v>
      </c>
      <c r="F268" s="1"/>
      <c r="G268" s="1">
        <v>667</v>
      </c>
      <c r="H268" s="1">
        <v>16.55</v>
      </c>
      <c r="I268" s="1">
        <v>17.850000000000001</v>
      </c>
      <c r="J268" s="1">
        <f t="shared" si="24"/>
        <v>1.3000000000000007</v>
      </c>
      <c r="K268" s="1">
        <f t="shared" si="25"/>
        <v>867.10000000000048</v>
      </c>
    </row>
    <row r="269" spans="2:11" x14ac:dyDescent="0.25">
      <c r="B269" s="1">
        <v>5000220745</v>
      </c>
      <c r="C269" s="1">
        <v>114</v>
      </c>
      <c r="D269" s="1">
        <v>1001928</v>
      </c>
      <c r="E269" s="1" t="s">
        <v>138</v>
      </c>
      <c r="F269" s="1"/>
      <c r="G269" s="1">
        <v>154</v>
      </c>
      <c r="H269" s="1">
        <v>16.55</v>
      </c>
      <c r="I269" s="1">
        <v>17.850000000000001</v>
      </c>
      <c r="J269" s="1">
        <f t="shared" si="24"/>
        <v>1.3000000000000007</v>
      </c>
      <c r="K269" s="1">
        <f t="shared" si="25"/>
        <v>200.2000000000001</v>
      </c>
    </row>
    <row r="270" spans="2:11" x14ac:dyDescent="0.25">
      <c r="B270" s="1">
        <v>5000219353</v>
      </c>
      <c r="C270" s="1">
        <v>114</v>
      </c>
      <c r="D270" s="1">
        <v>1001928</v>
      </c>
      <c r="E270" s="1" t="s">
        <v>138</v>
      </c>
      <c r="F270" s="1"/>
      <c r="G270" s="1">
        <v>55</v>
      </c>
      <c r="H270" s="1">
        <v>16.55</v>
      </c>
      <c r="I270" s="1">
        <v>17.850000000000001</v>
      </c>
      <c r="J270" s="1">
        <f t="shared" si="24"/>
        <v>1.3000000000000007</v>
      </c>
      <c r="K270" s="1">
        <f t="shared" si="25"/>
        <v>71.500000000000043</v>
      </c>
    </row>
    <row r="271" spans="2:11" x14ac:dyDescent="0.25">
      <c r="B271" s="1">
        <v>5000219353</v>
      </c>
      <c r="C271" s="1">
        <v>114</v>
      </c>
      <c r="D271" s="1">
        <v>1001928</v>
      </c>
      <c r="E271" s="1" t="s">
        <v>138</v>
      </c>
      <c r="F271" s="1"/>
      <c r="G271" s="1">
        <v>625</v>
      </c>
      <c r="H271" s="1">
        <v>16.55</v>
      </c>
      <c r="I271" s="1">
        <v>17.850000000000001</v>
      </c>
      <c r="J271" s="1">
        <f t="shared" si="24"/>
        <v>1.3000000000000007</v>
      </c>
      <c r="K271" s="1">
        <f t="shared" si="25"/>
        <v>812.50000000000045</v>
      </c>
    </row>
    <row r="272" spans="2:11" x14ac:dyDescent="0.25">
      <c r="B272" s="1">
        <v>5000218892</v>
      </c>
      <c r="C272" s="1">
        <v>114</v>
      </c>
      <c r="D272" s="1">
        <v>1001928</v>
      </c>
      <c r="E272" s="1" t="s">
        <v>138</v>
      </c>
      <c r="F272" s="1"/>
      <c r="G272" s="1">
        <v>640</v>
      </c>
      <c r="H272" s="1">
        <v>16.55</v>
      </c>
      <c r="I272" s="1">
        <v>17.850000000000001</v>
      </c>
      <c r="J272" s="1">
        <f t="shared" si="24"/>
        <v>1.3000000000000007</v>
      </c>
      <c r="K272" s="1">
        <f t="shared" si="25"/>
        <v>832.00000000000045</v>
      </c>
    </row>
    <row r="273" spans="2:11" x14ac:dyDescent="0.25">
      <c r="B273" s="1">
        <v>5000218797</v>
      </c>
      <c r="C273" s="1">
        <v>114</v>
      </c>
      <c r="D273" s="1">
        <v>1001928</v>
      </c>
      <c r="E273" s="1" t="s">
        <v>138</v>
      </c>
      <c r="F273" s="1"/>
      <c r="G273" s="1">
        <v>955</v>
      </c>
      <c r="H273" s="1">
        <v>16.55</v>
      </c>
      <c r="I273" s="1">
        <v>17.850000000000001</v>
      </c>
      <c r="J273" s="1">
        <f t="shared" si="24"/>
        <v>1.3000000000000007</v>
      </c>
      <c r="K273" s="1">
        <f t="shared" si="25"/>
        <v>1241.5000000000007</v>
      </c>
    </row>
    <row r="274" spans="2:11" x14ac:dyDescent="0.25">
      <c r="B274" s="1">
        <v>5000218203</v>
      </c>
      <c r="C274" s="1">
        <v>114</v>
      </c>
      <c r="D274" s="1">
        <v>1001928</v>
      </c>
      <c r="E274" s="1" t="s">
        <v>138</v>
      </c>
      <c r="F274" s="1"/>
      <c r="G274" s="1">
        <v>900</v>
      </c>
      <c r="H274" s="1">
        <v>16.55</v>
      </c>
      <c r="I274" s="1">
        <v>17.850000000000001</v>
      </c>
      <c r="J274" s="1">
        <f t="shared" si="24"/>
        <v>1.3000000000000007</v>
      </c>
      <c r="K274" s="1">
        <f t="shared" si="25"/>
        <v>1170.0000000000007</v>
      </c>
    </row>
    <row r="275" spans="2:11" x14ac:dyDescent="0.25">
      <c r="B275" s="1">
        <v>5000218443</v>
      </c>
      <c r="C275" s="1">
        <v>114</v>
      </c>
      <c r="D275" s="1">
        <v>1001928</v>
      </c>
      <c r="E275" s="1" t="s">
        <v>138</v>
      </c>
      <c r="F275" s="1"/>
      <c r="G275" s="1">
        <v>900</v>
      </c>
      <c r="H275" s="1">
        <v>16.55</v>
      </c>
      <c r="I275" s="1">
        <v>17.850000000000001</v>
      </c>
      <c r="J275" s="1">
        <f t="shared" si="24"/>
        <v>1.3000000000000007</v>
      </c>
      <c r="K275" s="1">
        <f t="shared" si="25"/>
        <v>1170.0000000000007</v>
      </c>
    </row>
    <row r="276" spans="2:11" x14ac:dyDescent="0.25">
      <c r="B276" s="1">
        <v>5000218190</v>
      </c>
      <c r="C276" s="1">
        <v>114</v>
      </c>
      <c r="D276" s="1">
        <v>1001928</v>
      </c>
      <c r="E276" s="1" t="s">
        <v>138</v>
      </c>
      <c r="F276" s="1"/>
      <c r="G276" s="2">
        <v>1700</v>
      </c>
      <c r="H276" s="1">
        <v>16.55</v>
      </c>
      <c r="I276" s="1">
        <v>17.850000000000001</v>
      </c>
      <c r="J276" s="1">
        <f t="shared" si="24"/>
        <v>1.3000000000000007</v>
      </c>
      <c r="K276" s="1">
        <f t="shared" si="25"/>
        <v>2210.0000000000014</v>
      </c>
    </row>
    <row r="277" spans="2:11" x14ac:dyDescent="0.25">
      <c r="B277" s="1">
        <v>5000218191</v>
      </c>
      <c r="C277" s="1">
        <v>114</v>
      </c>
      <c r="D277" s="1">
        <v>1001928</v>
      </c>
      <c r="E277" s="1" t="s">
        <v>138</v>
      </c>
      <c r="F277" s="1"/>
      <c r="G277" s="1">
        <v>797</v>
      </c>
      <c r="H277" s="1">
        <v>16.55</v>
      </c>
      <c r="I277" s="1">
        <v>17.850000000000001</v>
      </c>
      <c r="J277" s="1">
        <f t="shared" si="24"/>
        <v>1.3000000000000007</v>
      </c>
      <c r="K277" s="1">
        <f t="shared" si="25"/>
        <v>1036.1000000000006</v>
      </c>
    </row>
    <row r="278" spans="2:11" x14ac:dyDescent="0.25">
      <c r="B278" s="1">
        <v>5000220303</v>
      </c>
      <c r="C278" s="1">
        <v>114</v>
      </c>
      <c r="D278" s="1">
        <v>1001950</v>
      </c>
      <c r="E278" s="1" t="s">
        <v>151</v>
      </c>
      <c r="F278" s="1"/>
      <c r="G278" s="2">
        <v>1254</v>
      </c>
      <c r="H278" s="1">
        <v>16.45</v>
      </c>
      <c r="I278" s="1">
        <v>17.75</v>
      </c>
      <c r="J278" s="1">
        <f t="shared" si="24"/>
        <v>1.3000000000000007</v>
      </c>
      <c r="K278" s="1">
        <f t="shared" si="25"/>
        <v>1630.200000000001</v>
      </c>
    </row>
    <row r="279" spans="2:11" x14ac:dyDescent="0.25">
      <c r="B279" s="1">
        <v>5000220285</v>
      </c>
      <c r="C279" s="1">
        <v>114</v>
      </c>
      <c r="D279" s="1">
        <v>1001950</v>
      </c>
      <c r="E279" s="1" t="s">
        <v>151</v>
      </c>
      <c r="F279" s="1"/>
      <c r="G279" s="2">
        <v>1400</v>
      </c>
      <c r="H279" s="1">
        <v>16.45</v>
      </c>
      <c r="I279" s="1">
        <v>17.75</v>
      </c>
      <c r="J279" s="1">
        <f t="shared" si="24"/>
        <v>1.3000000000000007</v>
      </c>
      <c r="K279" s="1">
        <f t="shared" si="25"/>
        <v>1820.0000000000009</v>
      </c>
    </row>
    <row r="280" spans="2:11" x14ac:dyDescent="0.25">
      <c r="B280" s="1">
        <v>5000220020</v>
      </c>
      <c r="C280" s="1">
        <v>114</v>
      </c>
      <c r="D280" s="1">
        <v>1001950</v>
      </c>
      <c r="E280" s="1" t="s">
        <v>151</v>
      </c>
      <c r="F280" s="1"/>
      <c r="G280" s="2">
        <v>1300</v>
      </c>
      <c r="H280" s="1">
        <v>16.45</v>
      </c>
      <c r="I280" s="1">
        <v>17.75</v>
      </c>
      <c r="J280" s="1">
        <f t="shared" si="24"/>
        <v>1.3000000000000007</v>
      </c>
      <c r="K280" s="1">
        <f t="shared" si="25"/>
        <v>1690.0000000000009</v>
      </c>
    </row>
    <row r="281" spans="2:11" x14ac:dyDescent="0.25">
      <c r="B281" s="1">
        <v>5000220287</v>
      </c>
      <c r="C281" s="1">
        <v>114</v>
      </c>
      <c r="D281" s="1">
        <v>1001952</v>
      </c>
      <c r="E281" s="1" t="s">
        <v>139</v>
      </c>
      <c r="F281" s="1"/>
      <c r="G281" s="1">
        <v>380</v>
      </c>
      <c r="H281" s="1">
        <v>14.85</v>
      </c>
      <c r="I281" s="1">
        <v>16</v>
      </c>
      <c r="J281" s="1">
        <f t="shared" ref="J281:J303" si="26">I281-H281</f>
        <v>1.1500000000000004</v>
      </c>
      <c r="K281" s="1">
        <f t="shared" ref="K281:K303" si="27">J281*G281</f>
        <v>437.00000000000011</v>
      </c>
    </row>
    <row r="282" spans="2:11" x14ac:dyDescent="0.25">
      <c r="B282" s="1">
        <v>5000219063</v>
      </c>
      <c r="C282" s="1">
        <v>114</v>
      </c>
      <c r="D282" s="1">
        <v>1001952</v>
      </c>
      <c r="E282" s="1" t="s">
        <v>139</v>
      </c>
      <c r="F282" s="1"/>
      <c r="G282" s="1">
        <v>120</v>
      </c>
      <c r="H282" s="1">
        <v>14.85</v>
      </c>
      <c r="I282" s="1">
        <v>16</v>
      </c>
      <c r="J282" s="1">
        <f t="shared" si="26"/>
        <v>1.1500000000000004</v>
      </c>
      <c r="K282" s="1">
        <f t="shared" si="27"/>
        <v>138.00000000000006</v>
      </c>
    </row>
    <row r="283" spans="2:11" x14ac:dyDescent="0.25">
      <c r="B283" s="1">
        <v>5000219064</v>
      </c>
      <c r="C283" s="1">
        <v>114</v>
      </c>
      <c r="D283" s="1">
        <v>1001952</v>
      </c>
      <c r="E283" s="1" t="s">
        <v>139</v>
      </c>
      <c r="F283" s="1"/>
      <c r="G283" s="2">
        <v>1513</v>
      </c>
      <c r="H283" s="1">
        <v>14.85</v>
      </c>
      <c r="I283" s="1">
        <v>16</v>
      </c>
      <c r="J283" s="1">
        <f t="shared" si="26"/>
        <v>1.1500000000000004</v>
      </c>
      <c r="K283" s="1">
        <f t="shared" si="27"/>
        <v>1739.9500000000005</v>
      </c>
    </row>
    <row r="284" spans="2:11" x14ac:dyDescent="0.25">
      <c r="B284" s="1">
        <v>5000220893</v>
      </c>
      <c r="C284" s="1">
        <v>114</v>
      </c>
      <c r="D284" s="1">
        <v>1002022</v>
      </c>
      <c r="E284" s="1" t="s">
        <v>206</v>
      </c>
      <c r="F284" s="1"/>
      <c r="G284" s="1">
        <v>580</v>
      </c>
      <c r="H284" s="1">
        <v>23</v>
      </c>
      <c r="I284" s="1">
        <v>24.85</v>
      </c>
      <c r="J284" s="1">
        <f t="shared" si="26"/>
        <v>1.8500000000000014</v>
      </c>
      <c r="K284" s="1">
        <f t="shared" si="27"/>
        <v>1073.0000000000009</v>
      </c>
    </row>
    <row r="285" spans="2:11" x14ac:dyDescent="0.25">
      <c r="B285" s="1">
        <v>5000220893</v>
      </c>
      <c r="C285" s="1">
        <v>114</v>
      </c>
      <c r="D285" s="1">
        <v>1002022</v>
      </c>
      <c r="E285" s="1" t="s">
        <v>206</v>
      </c>
      <c r="F285" s="1"/>
      <c r="G285" s="1">
        <v>520</v>
      </c>
      <c r="H285" s="1">
        <v>23</v>
      </c>
      <c r="I285" s="1">
        <v>24.85</v>
      </c>
      <c r="J285" s="1">
        <f t="shared" si="26"/>
        <v>1.8500000000000014</v>
      </c>
      <c r="K285" s="1">
        <f t="shared" si="27"/>
        <v>962.00000000000068</v>
      </c>
    </row>
    <row r="286" spans="2:11" x14ac:dyDescent="0.25">
      <c r="B286" s="1">
        <v>5000220907</v>
      </c>
      <c r="C286" s="1">
        <v>114</v>
      </c>
      <c r="D286" s="1">
        <v>1002022</v>
      </c>
      <c r="E286" s="1" t="s">
        <v>206</v>
      </c>
      <c r="F286" s="1"/>
      <c r="G286" s="1">
        <v>266</v>
      </c>
      <c r="H286" s="1">
        <v>23</v>
      </c>
      <c r="I286" s="1">
        <v>24.85</v>
      </c>
      <c r="J286" s="1">
        <f t="shared" si="26"/>
        <v>1.8500000000000014</v>
      </c>
      <c r="K286" s="1">
        <f t="shared" si="27"/>
        <v>492.10000000000036</v>
      </c>
    </row>
    <row r="287" spans="2:11" x14ac:dyDescent="0.25">
      <c r="B287" s="1">
        <v>5000220745</v>
      </c>
      <c r="C287" s="1">
        <v>114</v>
      </c>
      <c r="D287" s="1">
        <v>1002022</v>
      </c>
      <c r="E287" s="1" t="s">
        <v>206</v>
      </c>
      <c r="F287" s="1"/>
      <c r="G287" s="1">
        <v>260</v>
      </c>
      <c r="H287" s="1">
        <v>23</v>
      </c>
      <c r="I287" s="1">
        <v>24.85</v>
      </c>
      <c r="J287" s="1">
        <f t="shared" si="26"/>
        <v>1.8500000000000014</v>
      </c>
      <c r="K287" s="1">
        <f t="shared" si="27"/>
        <v>481.00000000000034</v>
      </c>
    </row>
    <row r="288" spans="2:11" x14ac:dyDescent="0.25">
      <c r="B288" s="1">
        <v>5000220744</v>
      </c>
      <c r="C288" s="1">
        <v>114</v>
      </c>
      <c r="D288" s="1">
        <v>1002022</v>
      </c>
      <c r="E288" s="1" t="s">
        <v>206</v>
      </c>
      <c r="F288" s="1"/>
      <c r="G288" s="1">
        <v>80</v>
      </c>
      <c r="H288" s="1">
        <v>23</v>
      </c>
      <c r="I288" s="1">
        <v>24.85</v>
      </c>
      <c r="J288" s="1">
        <f t="shared" si="26"/>
        <v>1.8500000000000014</v>
      </c>
      <c r="K288" s="1">
        <f t="shared" si="27"/>
        <v>148.00000000000011</v>
      </c>
    </row>
    <row r="289" spans="2:11" x14ac:dyDescent="0.25">
      <c r="B289" s="1">
        <v>5000220744</v>
      </c>
      <c r="C289" s="1">
        <v>114</v>
      </c>
      <c r="D289" s="1">
        <v>1002022</v>
      </c>
      <c r="E289" s="1" t="s">
        <v>206</v>
      </c>
      <c r="F289" s="1"/>
      <c r="G289" s="1">
        <v>510</v>
      </c>
      <c r="H289" s="1">
        <v>23</v>
      </c>
      <c r="I289" s="1">
        <v>24.85</v>
      </c>
      <c r="J289" s="1">
        <f t="shared" si="26"/>
        <v>1.8500000000000014</v>
      </c>
      <c r="K289" s="1">
        <f t="shared" si="27"/>
        <v>943.50000000000068</v>
      </c>
    </row>
    <row r="290" spans="2:11" x14ac:dyDescent="0.25">
      <c r="B290" s="1">
        <v>5000220744</v>
      </c>
      <c r="C290" s="1">
        <v>114</v>
      </c>
      <c r="D290" s="1">
        <v>1002022</v>
      </c>
      <c r="E290" s="1" t="s">
        <v>206</v>
      </c>
      <c r="F290" s="1"/>
      <c r="G290" s="1">
        <v>510</v>
      </c>
      <c r="H290" s="1">
        <v>23</v>
      </c>
      <c r="I290" s="1">
        <v>24.85</v>
      </c>
      <c r="J290" s="1">
        <f t="shared" si="26"/>
        <v>1.8500000000000014</v>
      </c>
      <c r="K290" s="1">
        <f t="shared" si="27"/>
        <v>943.50000000000068</v>
      </c>
    </row>
    <row r="291" spans="2:11" x14ac:dyDescent="0.25">
      <c r="B291" s="1">
        <v>5000218892</v>
      </c>
      <c r="C291" s="1">
        <v>114</v>
      </c>
      <c r="D291" s="1">
        <v>1002022</v>
      </c>
      <c r="E291" s="1" t="s">
        <v>206</v>
      </c>
      <c r="F291" s="1"/>
      <c r="G291" s="1">
        <v>499</v>
      </c>
      <c r="H291" s="1">
        <v>23</v>
      </c>
      <c r="I291" s="1">
        <v>24.85</v>
      </c>
      <c r="J291" s="1">
        <f t="shared" si="26"/>
        <v>1.8500000000000014</v>
      </c>
      <c r="K291" s="1">
        <f t="shared" si="27"/>
        <v>923.15000000000066</v>
      </c>
    </row>
    <row r="292" spans="2:11" x14ac:dyDescent="0.25">
      <c r="B292" s="1">
        <v>5000223789</v>
      </c>
      <c r="C292" s="1">
        <v>114</v>
      </c>
      <c r="D292" s="1">
        <v>1002184</v>
      </c>
      <c r="E292" s="1" t="s">
        <v>141</v>
      </c>
      <c r="F292" s="1"/>
      <c r="G292" s="2">
        <v>1200</v>
      </c>
      <c r="H292" s="1">
        <v>19.55</v>
      </c>
      <c r="I292" s="1">
        <v>21.1</v>
      </c>
      <c r="J292" s="1">
        <f t="shared" si="26"/>
        <v>1.5500000000000007</v>
      </c>
      <c r="K292" s="1">
        <f t="shared" si="27"/>
        <v>1860.0000000000009</v>
      </c>
    </row>
    <row r="293" spans="2:11" x14ac:dyDescent="0.25">
      <c r="B293" s="1">
        <v>5000223810</v>
      </c>
      <c r="C293" s="1">
        <v>114</v>
      </c>
      <c r="D293" s="1">
        <v>1002184</v>
      </c>
      <c r="E293" s="1" t="s">
        <v>141</v>
      </c>
      <c r="F293" s="1"/>
      <c r="G293" s="2">
        <v>1237</v>
      </c>
      <c r="H293" s="1">
        <v>19.55</v>
      </c>
      <c r="I293" s="1">
        <v>21.1</v>
      </c>
      <c r="J293" s="1">
        <f t="shared" si="26"/>
        <v>1.5500000000000007</v>
      </c>
      <c r="K293" s="1">
        <f t="shared" si="27"/>
        <v>1917.3500000000008</v>
      </c>
    </row>
    <row r="294" spans="2:11" x14ac:dyDescent="0.25">
      <c r="B294" s="1">
        <v>5000223533</v>
      </c>
      <c r="C294" s="1">
        <v>114</v>
      </c>
      <c r="D294" s="1">
        <v>1002184</v>
      </c>
      <c r="E294" s="1" t="s">
        <v>141</v>
      </c>
      <c r="F294" s="1"/>
      <c r="G294" s="2">
        <v>1243</v>
      </c>
      <c r="H294" s="1">
        <v>19.55</v>
      </c>
      <c r="I294" s="1">
        <v>21.1</v>
      </c>
      <c r="J294" s="1">
        <f t="shared" si="26"/>
        <v>1.5500000000000007</v>
      </c>
      <c r="K294" s="1">
        <f t="shared" si="27"/>
        <v>1926.6500000000008</v>
      </c>
    </row>
    <row r="295" spans="2:11" x14ac:dyDescent="0.25">
      <c r="B295" s="1">
        <v>5000222664</v>
      </c>
      <c r="C295" s="1">
        <v>114</v>
      </c>
      <c r="D295" s="1">
        <v>1002184</v>
      </c>
      <c r="E295" s="1" t="s">
        <v>141</v>
      </c>
      <c r="F295" s="1"/>
      <c r="G295" s="2">
        <v>1380</v>
      </c>
      <c r="H295" s="1">
        <v>19.55</v>
      </c>
      <c r="I295" s="1">
        <v>21.1</v>
      </c>
      <c r="J295" s="1">
        <f t="shared" si="26"/>
        <v>1.5500000000000007</v>
      </c>
      <c r="K295" s="1">
        <f t="shared" si="27"/>
        <v>2139.0000000000009</v>
      </c>
    </row>
    <row r="296" spans="2:11" x14ac:dyDescent="0.25">
      <c r="B296" s="1">
        <v>5000221536</v>
      </c>
      <c r="C296" s="1">
        <v>114</v>
      </c>
      <c r="D296" s="1">
        <v>1002184</v>
      </c>
      <c r="E296" s="1" t="s">
        <v>141</v>
      </c>
      <c r="F296" s="1"/>
      <c r="G296" s="1">
        <v>471</v>
      </c>
      <c r="H296" s="1">
        <v>19.55</v>
      </c>
      <c r="I296" s="1">
        <v>21.1</v>
      </c>
      <c r="J296" s="1">
        <f t="shared" si="26"/>
        <v>1.5500000000000007</v>
      </c>
      <c r="K296" s="1">
        <f t="shared" si="27"/>
        <v>730.0500000000003</v>
      </c>
    </row>
    <row r="297" spans="2:11" x14ac:dyDescent="0.25">
      <c r="B297" s="1">
        <v>5000221370</v>
      </c>
      <c r="C297" s="1">
        <v>114</v>
      </c>
      <c r="D297" s="1">
        <v>1002184</v>
      </c>
      <c r="E297" s="1" t="s">
        <v>141</v>
      </c>
      <c r="F297" s="1"/>
      <c r="G297" s="2">
        <v>1095</v>
      </c>
      <c r="H297" s="1">
        <v>19.55</v>
      </c>
      <c r="I297" s="1">
        <v>21.1</v>
      </c>
      <c r="J297" s="1">
        <f t="shared" si="26"/>
        <v>1.5500000000000007</v>
      </c>
      <c r="K297" s="1">
        <f t="shared" si="27"/>
        <v>1697.2500000000007</v>
      </c>
    </row>
    <row r="298" spans="2:11" x14ac:dyDescent="0.25">
      <c r="B298" s="1">
        <v>5000221333</v>
      </c>
      <c r="C298" s="1">
        <v>114</v>
      </c>
      <c r="D298" s="1">
        <v>1002184</v>
      </c>
      <c r="E298" s="1" t="s">
        <v>141</v>
      </c>
      <c r="F298" s="1"/>
      <c r="G298" s="1">
        <v>360</v>
      </c>
      <c r="H298" s="1">
        <v>19.55</v>
      </c>
      <c r="I298" s="1">
        <v>21.1</v>
      </c>
      <c r="J298" s="1">
        <f t="shared" si="26"/>
        <v>1.5500000000000007</v>
      </c>
      <c r="K298" s="1">
        <f t="shared" si="27"/>
        <v>558.00000000000023</v>
      </c>
    </row>
    <row r="299" spans="2:11" x14ac:dyDescent="0.25">
      <c r="B299" s="1">
        <v>5000221433</v>
      </c>
      <c r="C299" s="1">
        <v>114</v>
      </c>
      <c r="D299" s="1">
        <v>1002184</v>
      </c>
      <c r="E299" s="1" t="s">
        <v>141</v>
      </c>
      <c r="F299" s="1"/>
      <c r="G299" s="2">
        <v>1400</v>
      </c>
      <c r="H299" s="1">
        <v>19.55</v>
      </c>
      <c r="I299" s="1">
        <v>21.1</v>
      </c>
      <c r="J299" s="1">
        <f t="shared" si="26"/>
        <v>1.5500000000000007</v>
      </c>
      <c r="K299" s="1">
        <f t="shared" si="27"/>
        <v>2170.0000000000009</v>
      </c>
    </row>
    <row r="300" spans="2:11" x14ac:dyDescent="0.25">
      <c r="B300" s="1">
        <v>5000221325</v>
      </c>
      <c r="C300" s="1">
        <v>114</v>
      </c>
      <c r="D300" s="1">
        <v>1002184</v>
      </c>
      <c r="E300" s="1" t="s">
        <v>141</v>
      </c>
      <c r="F300" s="1"/>
      <c r="G300" s="2">
        <v>1200</v>
      </c>
      <c r="H300" s="1">
        <v>19.55</v>
      </c>
      <c r="I300" s="1">
        <v>21.1</v>
      </c>
      <c r="J300" s="1">
        <f t="shared" si="26"/>
        <v>1.5500000000000007</v>
      </c>
      <c r="K300" s="1">
        <f t="shared" si="27"/>
        <v>1860.0000000000009</v>
      </c>
    </row>
    <row r="301" spans="2:11" x14ac:dyDescent="0.25">
      <c r="B301" s="1">
        <v>5000221324</v>
      </c>
      <c r="C301" s="1">
        <v>114</v>
      </c>
      <c r="D301" s="1">
        <v>1002184</v>
      </c>
      <c r="E301" s="1" t="s">
        <v>141</v>
      </c>
      <c r="F301" s="1"/>
      <c r="G301" s="2">
        <v>1400</v>
      </c>
      <c r="H301" s="1">
        <v>19.55</v>
      </c>
      <c r="I301" s="1">
        <v>21.1</v>
      </c>
      <c r="J301" s="1">
        <f t="shared" si="26"/>
        <v>1.5500000000000007</v>
      </c>
      <c r="K301" s="1">
        <f t="shared" si="27"/>
        <v>2170.0000000000009</v>
      </c>
    </row>
    <row r="302" spans="2:11" x14ac:dyDescent="0.25">
      <c r="B302" s="1">
        <v>5000220787</v>
      </c>
      <c r="C302" s="1">
        <v>114</v>
      </c>
      <c r="D302" s="1">
        <v>1002184</v>
      </c>
      <c r="E302" s="1" t="s">
        <v>141</v>
      </c>
      <c r="F302" s="1"/>
      <c r="G302" s="2">
        <v>1120</v>
      </c>
      <c r="H302" s="1">
        <v>19.55</v>
      </c>
      <c r="I302" s="1">
        <v>21.1</v>
      </c>
      <c r="J302" s="1">
        <f t="shared" si="26"/>
        <v>1.5500000000000007</v>
      </c>
      <c r="K302" s="1">
        <f t="shared" si="27"/>
        <v>1736.0000000000009</v>
      </c>
    </row>
    <row r="303" spans="2:11" x14ac:dyDescent="0.25">
      <c r="B303" s="1">
        <v>5000220785</v>
      </c>
      <c r="C303" s="1">
        <v>114</v>
      </c>
      <c r="D303" s="1">
        <v>1002184</v>
      </c>
      <c r="E303" s="1" t="s">
        <v>141</v>
      </c>
      <c r="F303" s="1"/>
      <c r="G303" s="2">
        <v>1100</v>
      </c>
      <c r="H303" s="1">
        <v>19.55</v>
      </c>
      <c r="I303" s="1">
        <v>21.1</v>
      </c>
      <c r="J303" s="1">
        <f t="shared" si="26"/>
        <v>1.5500000000000007</v>
      </c>
      <c r="K303" s="1">
        <f t="shared" si="27"/>
        <v>1705.0000000000007</v>
      </c>
    </row>
    <row r="304" spans="2:1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25">
      <c r="B305" s="1"/>
      <c r="C305" s="1"/>
      <c r="D305" s="1"/>
      <c r="E305" s="1"/>
      <c r="F305" s="1"/>
      <c r="G305" s="5">
        <f>SUM(G216:G303)</f>
        <v>80509</v>
      </c>
      <c r="H305" s="1"/>
      <c r="I305" s="1"/>
      <c r="J305" s="5" t="s">
        <v>58</v>
      </c>
      <c r="K305" s="5">
        <f>SUM(K216:K303)</f>
        <v>107643.79999999997</v>
      </c>
    </row>
    <row r="307" spans="1:11" x14ac:dyDescent="0.25">
      <c r="A307" t="s">
        <v>147</v>
      </c>
    </row>
    <row r="308" spans="1:11" x14ac:dyDescent="0.25">
      <c r="B308" s="1" t="s">
        <v>172</v>
      </c>
      <c r="C308" s="1" t="s">
        <v>168</v>
      </c>
      <c r="D308" s="1" t="s">
        <v>167</v>
      </c>
      <c r="E308" s="1" t="s">
        <v>169</v>
      </c>
      <c r="F308" s="1"/>
      <c r="G308" s="1" t="s">
        <v>22</v>
      </c>
      <c r="H308" s="1" t="s">
        <v>50</v>
      </c>
      <c r="I308" s="1" t="s">
        <v>192</v>
      </c>
      <c r="J308" s="1" t="s">
        <v>52</v>
      </c>
      <c r="K308" s="1" t="s">
        <v>21</v>
      </c>
    </row>
    <row r="309" spans="1:11" x14ac:dyDescent="0.25">
      <c r="B309" s="1">
        <v>5000223813</v>
      </c>
      <c r="C309" s="1">
        <v>114</v>
      </c>
      <c r="D309" s="1">
        <v>1000204</v>
      </c>
      <c r="E309" s="1" t="s">
        <v>131</v>
      </c>
      <c r="F309" s="1"/>
      <c r="G309" s="1">
        <v>369</v>
      </c>
      <c r="H309" s="1">
        <v>18.2</v>
      </c>
      <c r="I309" s="1">
        <v>19.649999999999999</v>
      </c>
      <c r="J309" s="1">
        <f t="shared" ref="J309:J350" si="28">I309-H309</f>
        <v>1.4499999999999993</v>
      </c>
      <c r="K309" s="1">
        <f t="shared" ref="K309:K350" si="29">J309*G309</f>
        <v>535.04999999999973</v>
      </c>
    </row>
    <row r="310" spans="1:11" x14ac:dyDescent="0.25">
      <c r="B310" s="1">
        <v>5000223813</v>
      </c>
      <c r="C310" s="1">
        <v>114</v>
      </c>
      <c r="D310" s="1">
        <v>1000204</v>
      </c>
      <c r="E310" s="1" t="s">
        <v>131</v>
      </c>
      <c r="F310" s="1"/>
      <c r="G310" s="2">
        <v>1140</v>
      </c>
      <c r="H310" s="1">
        <v>18.2</v>
      </c>
      <c r="I310" s="1">
        <v>19.649999999999999</v>
      </c>
      <c r="J310" s="1">
        <f t="shared" si="28"/>
        <v>1.4499999999999993</v>
      </c>
      <c r="K310" s="1">
        <f t="shared" si="29"/>
        <v>1652.9999999999991</v>
      </c>
    </row>
    <row r="311" spans="1:11" x14ac:dyDescent="0.25">
      <c r="B311" s="1">
        <v>5000223813</v>
      </c>
      <c r="C311" s="1">
        <v>114</v>
      </c>
      <c r="D311" s="1">
        <v>1000204</v>
      </c>
      <c r="E311" s="1" t="s">
        <v>131</v>
      </c>
      <c r="F311" s="1"/>
      <c r="G311" s="1">
        <v>50</v>
      </c>
      <c r="H311" s="1">
        <v>18.2</v>
      </c>
      <c r="I311" s="1">
        <v>19.649999999999999</v>
      </c>
      <c r="J311" s="1">
        <f t="shared" si="28"/>
        <v>1.4499999999999993</v>
      </c>
      <c r="K311" s="1">
        <f t="shared" si="29"/>
        <v>72.499999999999972</v>
      </c>
    </row>
    <row r="312" spans="1:11" x14ac:dyDescent="0.25">
      <c r="B312" s="1">
        <v>5000223813</v>
      </c>
      <c r="C312" s="1">
        <v>114</v>
      </c>
      <c r="D312" s="1">
        <v>1000204</v>
      </c>
      <c r="E312" s="1" t="s">
        <v>131</v>
      </c>
      <c r="F312" s="1"/>
      <c r="G312" s="1">
        <v>141</v>
      </c>
      <c r="H312" s="1">
        <v>18.2</v>
      </c>
      <c r="I312" s="1">
        <v>19.649999999999999</v>
      </c>
      <c r="J312" s="1">
        <f t="shared" si="28"/>
        <v>1.4499999999999993</v>
      </c>
      <c r="K312" s="1">
        <f t="shared" si="29"/>
        <v>204.4499999999999</v>
      </c>
    </row>
    <row r="313" spans="1:11" x14ac:dyDescent="0.25">
      <c r="B313" s="1">
        <v>5000219979</v>
      </c>
      <c r="C313" s="1">
        <v>114</v>
      </c>
      <c r="D313" s="1">
        <v>1000204</v>
      </c>
      <c r="E313" s="1" t="s">
        <v>131</v>
      </c>
      <c r="F313" s="1"/>
      <c r="G313" s="2">
        <v>1339</v>
      </c>
      <c r="H313" s="1">
        <v>18.2</v>
      </c>
      <c r="I313" s="1">
        <v>19.649999999999999</v>
      </c>
      <c r="J313" s="1">
        <f t="shared" si="28"/>
        <v>1.4499999999999993</v>
      </c>
      <c r="K313" s="1">
        <f t="shared" si="29"/>
        <v>1941.549999999999</v>
      </c>
    </row>
    <row r="314" spans="1:11" x14ac:dyDescent="0.25">
      <c r="B314" s="1">
        <v>5000219979</v>
      </c>
      <c r="C314" s="1">
        <v>114</v>
      </c>
      <c r="D314" s="1">
        <v>1000204</v>
      </c>
      <c r="E314" s="1" t="s">
        <v>131</v>
      </c>
      <c r="F314" s="1"/>
      <c r="G314" s="2">
        <v>1791</v>
      </c>
      <c r="H314" s="1">
        <v>18.2</v>
      </c>
      <c r="I314" s="1">
        <v>19.649999999999999</v>
      </c>
      <c r="J314" s="1">
        <f t="shared" si="28"/>
        <v>1.4499999999999993</v>
      </c>
      <c r="K314" s="1">
        <f t="shared" si="29"/>
        <v>2596.9499999999989</v>
      </c>
    </row>
    <row r="315" spans="1:11" x14ac:dyDescent="0.25">
      <c r="B315" s="1">
        <v>5000223391</v>
      </c>
      <c r="C315" s="1">
        <v>114</v>
      </c>
      <c r="D315" s="1">
        <v>1000211</v>
      </c>
      <c r="E315" s="1" t="s">
        <v>132</v>
      </c>
      <c r="F315" s="1"/>
      <c r="G315" s="1">
        <v>491</v>
      </c>
      <c r="H315" s="1">
        <v>17.350000000000001</v>
      </c>
      <c r="I315" s="1">
        <v>18.7</v>
      </c>
      <c r="J315" s="1">
        <f t="shared" si="28"/>
        <v>1.3499999999999979</v>
      </c>
      <c r="K315" s="1">
        <f t="shared" si="29"/>
        <v>662.849999999999</v>
      </c>
    </row>
    <row r="316" spans="1:11" x14ac:dyDescent="0.25">
      <c r="B316" s="1">
        <v>5000223391</v>
      </c>
      <c r="C316" s="1">
        <v>114</v>
      </c>
      <c r="D316" s="1">
        <v>1000211</v>
      </c>
      <c r="E316" s="1" t="s">
        <v>132</v>
      </c>
      <c r="F316" s="1"/>
      <c r="G316" s="2">
        <v>1548</v>
      </c>
      <c r="H316" s="1">
        <v>17.350000000000001</v>
      </c>
      <c r="I316" s="1">
        <v>18.7</v>
      </c>
      <c r="J316" s="1">
        <f t="shared" si="28"/>
        <v>1.3499999999999979</v>
      </c>
      <c r="K316" s="1">
        <f t="shared" si="29"/>
        <v>2089.7999999999965</v>
      </c>
    </row>
    <row r="317" spans="1:11" x14ac:dyDescent="0.25">
      <c r="B317" s="1">
        <v>5000223391</v>
      </c>
      <c r="C317" s="1">
        <v>114</v>
      </c>
      <c r="D317" s="1">
        <v>1000211</v>
      </c>
      <c r="E317" s="1" t="s">
        <v>132</v>
      </c>
      <c r="F317" s="1"/>
      <c r="G317" s="2">
        <v>1261</v>
      </c>
      <c r="H317" s="1">
        <v>17.350000000000001</v>
      </c>
      <c r="I317" s="1">
        <v>18.7</v>
      </c>
      <c r="J317" s="1">
        <f t="shared" si="28"/>
        <v>1.3499999999999979</v>
      </c>
      <c r="K317" s="1">
        <f t="shared" si="29"/>
        <v>1702.3499999999974</v>
      </c>
    </row>
    <row r="318" spans="1:11" x14ac:dyDescent="0.25">
      <c r="B318" s="1">
        <v>5000223080</v>
      </c>
      <c r="C318" s="1">
        <v>114</v>
      </c>
      <c r="D318" s="1">
        <v>1000211</v>
      </c>
      <c r="E318" s="1" t="s">
        <v>132</v>
      </c>
      <c r="F318" s="1"/>
      <c r="G318" s="2">
        <v>4000</v>
      </c>
      <c r="H318" s="1">
        <v>17.350000000000001</v>
      </c>
      <c r="I318" s="1">
        <v>18.7</v>
      </c>
      <c r="J318" s="1">
        <f t="shared" si="28"/>
        <v>1.3499999999999979</v>
      </c>
      <c r="K318" s="1">
        <f t="shared" si="29"/>
        <v>5399.9999999999918</v>
      </c>
    </row>
    <row r="319" spans="1:11" x14ac:dyDescent="0.25">
      <c r="B319" s="1">
        <v>5000222264</v>
      </c>
      <c r="C319" s="1">
        <v>114</v>
      </c>
      <c r="D319" s="1">
        <v>1000211</v>
      </c>
      <c r="E319" s="1" t="s">
        <v>132</v>
      </c>
      <c r="F319" s="1"/>
      <c r="G319" s="2">
        <v>4073</v>
      </c>
      <c r="H319" s="1">
        <v>17.350000000000001</v>
      </c>
      <c r="I319" s="1">
        <v>18.7</v>
      </c>
      <c r="J319" s="1">
        <f t="shared" si="28"/>
        <v>1.3499999999999979</v>
      </c>
      <c r="K319" s="1">
        <f t="shared" si="29"/>
        <v>5498.5499999999911</v>
      </c>
    </row>
    <row r="320" spans="1:11" x14ac:dyDescent="0.25">
      <c r="B320" s="1">
        <v>5000223766</v>
      </c>
      <c r="C320" s="1">
        <v>114</v>
      </c>
      <c r="D320" s="1">
        <v>1001640</v>
      </c>
      <c r="E320" s="1" t="s">
        <v>135</v>
      </c>
      <c r="F320" s="1"/>
      <c r="G320" s="2">
        <v>2680</v>
      </c>
      <c r="H320" s="1">
        <v>11.05</v>
      </c>
      <c r="I320" s="1">
        <v>11.9</v>
      </c>
      <c r="J320" s="1">
        <f t="shared" si="28"/>
        <v>0.84999999999999964</v>
      </c>
      <c r="K320" s="1">
        <f t="shared" si="29"/>
        <v>2277.9999999999991</v>
      </c>
    </row>
    <row r="321" spans="2:11" x14ac:dyDescent="0.25">
      <c r="B321" s="1">
        <v>5000223766</v>
      </c>
      <c r="C321" s="1">
        <v>114</v>
      </c>
      <c r="D321" s="1">
        <v>1001640</v>
      </c>
      <c r="E321" s="1" t="s">
        <v>135</v>
      </c>
      <c r="F321" s="1"/>
      <c r="G321" s="2">
        <v>1420</v>
      </c>
      <c r="H321" s="1">
        <v>11.05</v>
      </c>
      <c r="I321" s="1">
        <v>11.9</v>
      </c>
      <c r="J321" s="1">
        <f t="shared" si="28"/>
        <v>0.84999999999999964</v>
      </c>
      <c r="K321" s="1">
        <f t="shared" si="29"/>
        <v>1206.9999999999995</v>
      </c>
    </row>
    <row r="322" spans="2:11" x14ac:dyDescent="0.25">
      <c r="B322" s="1">
        <v>5000219973</v>
      </c>
      <c r="C322" s="1">
        <v>114</v>
      </c>
      <c r="D322" s="1">
        <v>1001737</v>
      </c>
      <c r="E322" s="1" t="s">
        <v>150</v>
      </c>
      <c r="F322" s="1"/>
      <c r="G322" s="1">
        <v>125</v>
      </c>
      <c r="H322" s="1">
        <v>16.25</v>
      </c>
      <c r="I322" s="1">
        <v>17.55</v>
      </c>
      <c r="J322" s="1">
        <f t="shared" si="28"/>
        <v>1.3000000000000007</v>
      </c>
      <c r="K322" s="1">
        <f t="shared" si="29"/>
        <v>162.50000000000009</v>
      </c>
    </row>
    <row r="323" spans="2:11" x14ac:dyDescent="0.25">
      <c r="B323" s="1">
        <v>5000219973</v>
      </c>
      <c r="C323" s="1">
        <v>114</v>
      </c>
      <c r="D323" s="1">
        <v>1001737</v>
      </c>
      <c r="E323" s="1" t="s">
        <v>150</v>
      </c>
      <c r="F323" s="1"/>
      <c r="G323" s="1">
        <v>225</v>
      </c>
      <c r="H323" s="1">
        <v>16.25</v>
      </c>
      <c r="I323" s="1">
        <v>17.55</v>
      </c>
      <c r="J323" s="1">
        <f t="shared" si="28"/>
        <v>1.3000000000000007</v>
      </c>
      <c r="K323" s="1">
        <f t="shared" si="29"/>
        <v>292.50000000000017</v>
      </c>
    </row>
    <row r="324" spans="2:11" x14ac:dyDescent="0.25">
      <c r="B324" s="1">
        <v>5000222684</v>
      </c>
      <c r="C324" s="1">
        <v>114</v>
      </c>
      <c r="D324" s="1">
        <v>1001773</v>
      </c>
      <c r="E324" s="1" t="s">
        <v>136</v>
      </c>
      <c r="F324" s="1"/>
      <c r="G324" s="2">
        <v>4620</v>
      </c>
      <c r="H324" s="1">
        <v>16.25</v>
      </c>
      <c r="I324" s="1">
        <v>17.55</v>
      </c>
      <c r="J324" s="1">
        <f t="shared" si="28"/>
        <v>1.3000000000000007</v>
      </c>
      <c r="K324" s="1">
        <f t="shared" si="29"/>
        <v>6006.0000000000036</v>
      </c>
    </row>
    <row r="325" spans="2:11" x14ac:dyDescent="0.25">
      <c r="B325" s="1">
        <v>5000222033</v>
      </c>
      <c r="C325" s="1">
        <v>114</v>
      </c>
      <c r="D325" s="1">
        <v>1001773</v>
      </c>
      <c r="E325" s="1" t="s">
        <v>136</v>
      </c>
      <c r="F325" s="1"/>
      <c r="G325" s="2">
        <v>2630</v>
      </c>
      <c r="H325" s="1">
        <v>16.25</v>
      </c>
      <c r="I325" s="1">
        <v>17.55</v>
      </c>
      <c r="J325" s="1">
        <f t="shared" si="28"/>
        <v>1.3000000000000007</v>
      </c>
      <c r="K325" s="1">
        <f t="shared" si="29"/>
        <v>3419.0000000000018</v>
      </c>
    </row>
    <row r="326" spans="2:11" x14ac:dyDescent="0.25">
      <c r="B326" s="1">
        <v>5000221772</v>
      </c>
      <c r="C326" s="1">
        <v>114</v>
      </c>
      <c r="D326" s="1">
        <v>1001773</v>
      </c>
      <c r="E326" s="1" t="s">
        <v>136</v>
      </c>
      <c r="F326" s="1"/>
      <c r="G326" s="2">
        <v>4005</v>
      </c>
      <c r="H326" s="1">
        <v>16.25</v>
      </c>
      <c r="I326" s="1">
        <v>17.55</v>
      </c>
      <c r="J326" s="1">
        <f t="shared" si="28"/>
        <v>1.3000000000000007</v>
      </c>
      <c r="K326" s="1">
        <f t="shared" si="29"/>
        <v>5206.5000000000027</v>
      </c>
    </row>
    <row r="327" spans="2:11" x14ac:dyDescent="0.25">
      <c r="B327" s="1">
        <v>5000221772</v>
      </c>
      <c r="C327" s="1">
        <v>114</v>
      </c>
      <c r="D327" s="1">
        <v>1001773</v>
      </c>
      <c r="E327" s="1" t="s">
        <v>136</v>
      </c>
      <c r="F327" s="1"/>
      <c r="G327" s="2">
        <v>1365</v>
      </c>
      <c r="H327" s="1">
        <v>16.25</v>
      </c>
      <c r="I327" s="1">
        <v>17.55</v>
      </c>
      <c r="J327" s="1">
        <f t="shared" si="28"/>
        <v>1.3000000000000007</v>
      </c>
      <c r="K327" s="1">
        <f t="shared" si="29"/>
        <v>1774.5000000000009</v>
      </c>
    </row>
    <row r="328" spans="2:11" x14ac:dyDescent="0.25">
      <c r="B328" s="1">
        <v>5000221411</v>
      </c>
      <c r="C328" s="1">
        <v>114</v>
      </c>
      <c r="D328" s="1">
        <v>1001773</v>
      </c>
      <c r="E328" s="1" t="s">
        <v>136</v>
      </c>
      <c r="F328" s="1"/>
      <c r="G328" s="2">
        <v>1150</v>
      </c>
      <c r="H328" s="1">
        <v>16.25</v>
      </c>
      <c r="I328" s="1">
        <v>17.55</v>
      </c>
      <c r="J328" s="1">
        <f t="shared" si="28"/>
        <v>1.3000000000000007</v>
      </c>
      <c r="K328" s="1">
        <f t="shared" si="29"/>
        <v>1495.0000000000009</v>
      </c>
    </row>
    <row r="329" spans="2:11" x14ac:dyDescent="0.25">
      <c r="B329" s="1">
        <v>5000220996</v>
      </c>
      <c r="C329" s="1">
        <v>114</v>
      </c>
      <c r="D329" s="1">
        <v>1001773</v>
      </c>
      <c r="E329" s="1" t="s">
        <v>136</v>
      </c>
      <c r="F329" s="1"/>
      <c r="G329" s="2">
        <v>3250</v>
      </c>
      <c r="H329" s="1">
        <v>16.25</v>
      </c>
      <c r="I329" s="1">
        <v>17.55</v>
      </c>
      <c r="J329" s="1">
        <f t="shared" si="28"/>
        <v>1.3000000000000007</v>
      </c>
      <c r="K329" s="1">
        <f t="shared" si="29"/>
        <v>4225.0000000000027</v>
      </c>
    </row>
    <row r="330" spans="2:11" x14ac:dyDescent="0.25">
      <c r="B330" s="1">
        <v>5000220482</v>
      </c>
      <c r="C330" s="1">
        <v>114</v>
      </c>
      <c r="D330" s="1">
        <v>1001773</v>
      </c>
      <c r="E330" s="1" t="s">
        <v>136</v>
      </c>
      <c r="F330" s="1"/>
      <c r="G330" s="2">
        <v>3060</v>
      </c>
      <c r="H330" s="1">
        <v>16.25</v>
      </c>
      <c r="I330" s="1">
        <v>17.55</v>
      </c>
      <c r="J330" s="1">
        <f t="shared" si="28"/>
        <v>1.3000000000000007</v>
      </c>
      <c r="K330" s="1">
        <f t="shared" si="29"/>
        <v>3978.0000000000023</v>
      </c>
    </row>
    <row r="331" spans="2:11" x14ac:dyDescent="0.25">
      <c r="B331" s="1">
        <v>5000220482</v>
      </c>
      <c r="C331" s="1">
        <v>114</v>
      </c>
      <c r="D331" s="1">
        <v>1001773</v>
      </c>
      <c r="E331" s="1" t="s">
        <v>136</v>
      </c>
      <c r="F331" s="1"/>
      <c r="G331" s="2">
        <v>1440</v>
      </c>
      <c r="H331" s="1">
        <v>16.25</v>
      </c>
      <c r="I331" s="1">
        <v>17.55</v>
      </c>
      <c r="J331" s="1">
        <f t="shared" si="28"/>
        <v>1.3000000000000007</v>
      </c>
      <c r="K331" s="1">
        <f t="shared" si="29"/>
        <v>1872.0000000000009</v>
      </c>
    </row>
    <row r="332" spans="2:11" x14ac:dyDescent="0.25">
      <c r="B332" s="1">
        <v>5000219420</v>
      </c>
      <c r="C332" s="1">
        <v>114</v>
      </c>
      <c r="D332" s="1">
        <v>1001773</v>
      </c>
      <c r="E332" s="1" t="s">
        <v>136</v>
      </c>
      <c r="F332" s="1"/>
      <c r="G332" s="2">
        <v>4060</v>
      </c>
      <c r="H332" s="1">
        <v>16.25</v>
      </c>
      <c r="I332" s="1">
        <v>17.55</v>
      </c>
      <c r="J332" s="1">
        <f t="shared" si="28"/>
        <v>1.3000000000000007</v>
      </c>
      <c r="K332" s="1">
        <f t="shared" si="29"/>
        <v>5278.0000000000027</v>
      </c>
    </row>
    <row r="333" spans="2:11" x14ac:dyDescent="0.25">
      <c r="B333" s="1">
        <v>5000219074</v>
      </c>
      <c r="C333" s="1">
        <v>114</v>
      </c>
      <c r="D333" s="1">
        <v>1001773</v>
      </c>
      <c r="E333" s="1" t="s">
        <v>136</v>
      </c>
      <c r="F333" s="1"/>
      <c r="G333" s="2">
        <v>1610</v>
      </c>
      <c r="H333" s="1">
        <v>16.25</v>
      </c>
      <c r="I333" s="1">
        <v>17.55</v>
      </c>
      <c r="J333" s="1">
        <f t="shared" si="28"/>
        <v>1.3000000000000007</v>
      </c>
      <c r="K333" s="1">
        <f t="shared" si="29"/>
        <v>2093.0000000000014</v>
      </c>
    </row>
    <row r="334" spans="2:11" x14ac:dyDescent="0.25">
      <c r="B334" s="1">
        <v>5000218519</v>
      </c>
      <c r="C334" s="1">
        <v>114</v>
      </c>
      <c r="D334" s="1">
        <v>1001773</v>
      </c>
      <c r="E334" s="1" t="s">
        <v>136</v>
      </c>
      <c r="F334" s="1"/>
      <c r="G334" s="2">
        <v>5890</v>
      </c>
      <c r="H334" s="1">
        <v>16.25</v>
      </c>
      <c r="I334" s="1">
        <v>17.55</v>
      </c>
      <c r="J334" s="1">
        <f t="shared" si="28"/>
        <v>1.3000000000000007</v>
      </c>
      <c r="K334" s="1">
        <f t="shared" si="29"/>
        <v>7657.0000000000045</v>
      </c>
    </row>
    <row r="335" spans="2:11" x14ac:dyDescent="0.25">
      <c r="B335" s="1">
        <v>5000223391</v>
      </c>
      <c r="C335" s="1">
        <v>114</v>
      </c>
      <c r="D335" s="1">
        <v>1001928</v>
      </c>
      <c r="E335" s="1" t="s">
        <v>138</v>
      </c>
      <c r="F335" s="1"/>
      <c r="G335" s="1">
        <v>999</v>
      </c>
      <c r="H335" s="1">
        <v>16.55</v>
      </c>
      <c r="I335" s="1">
        <v>17.850000000000001</v>
      </c>
      <c r="J335" s="1">
        <f t="shared" si="28"/>
        <v>1.3000000000000007</v>
      </c>
      <c r="K335" s="1">
        <f t="shared" si="29"/>
        <v>1298.7000000000007</v>
      </c>
    </row>
    <row r="336" spans="2:11" x14ac:dyDescent="0.25">
      <c r="B336" s="1">
        <v>5000223391</v>
      </c>
      <c r="C336" s="1">
        <v>114</v>
      </c>
      <c r="D336" s="1">
        <v>1001928</v>
      </c>
      <c r="E336" s="1" t="s">
        <v>138</v>
      </c>
      <c r="F336" s="1"/>
      <c r="G336" s="1">
        <v>261</v>
      </c>
      <c r="H336" s="1">
        <v>16.55</v>
      </c>
      <c r="I336" s="1">
        <v>17.850000000000001</v>
      </c>
      <c r="J336" s="1">
        <f t="shared" si="28"/>
        <v>1.3000000000000007</v>
      </c>
      <c r="K336" s="1">
        <f t="shared" si="29"/>
        <v>339.30000000000018</v>
      </c>
    </row>
    <row r="337" spans="2:11" x14ac:dyDescent="0.25">
      <c r="B337" s="1">
        <v>5000223391</v>
      </c>
      <c r="C337" s="1">
        <v>114</v>
      </c>
      <c r="D337" s="1">
        <v>1001928</v>
      </c>
      <c r="E337" s="1" t="s">
        <v>138</v>
      </c>
      <c r="F337" s="1"/>
      <c r="G337" s="1">
        <v>383</v>
      </c>
      <c r="H337" s="1">
        <v>16.55</v>
      </c>
      <c r="I337" s="1">
        <v>17.850000000000001</v>
      </c>
      <c r="J337" s="1">
        <f t="shared" si="28"/>
        <v>1.3000000000000007</v>
      </c>
      <c r="K337" s="1">
        <f t="shared" si="29"/>
        <v>497.90000000000026</v>
      </c>
    </row>
    <row r="338" spans="2:11" x14ac:dyDescent="0.25">
      <c r="B338" s="1">
        <v>5000222164</v>
      </c>
      <c r="C338" s="1">
        <v>114</v>
      </c>
      <c r="D338" s="1">
        <v>1001928</v>
      </c>
      <c r="E338" s="1" t="s">
        <v>138</v>
      </c>
      <c r="F338" s="1"/>
      <c r="G338" s="2">
        <v>5230</v>
      </c>
      <c r="H338" s="1">
        <v>16.55</v>
      </c>
      <c r="I338" s="1">
        <v>17.850000000000001</v>
      </c>
      <c r="J338" s="1">
        <f t="shared" si="28"/>
        <v>1.3000000000000007</v>
      </c>
      <c r="K338" s="1">
        <f t="shared" si="29"/>
        <v>6799.0000000000036</v>
      </c>
    </row>
    <row r="339" spans="2:11" x14ac:dyDescent="0.25">
      <c r="B339" s="1">
        <v>5000219979</v>
      </c>
      <c r="C339" s="1">
        <v>114</v>
      </c>
      <c r="D339" s="1">
        <v>1001928</v>
      </c>
      <c r="E339" s="1" t="s">
        <v>138</v>
      </c>
      <c r="F339" s="1"/>
      <c r="G339" s="2">
        <v>1950</v>
      </c>
      <c r="H339" s="1">
        <v>16.55</v>
      </c>
      <c r="I339" s="1">
        <v>17.850000000000001</v>
      </c>
      <c r="J339" s="1">
        <f t="shared" si="28"/>
        <v>1.3000000000000007</v>
      </c>
      <c r="K339" s="1">
        <f t="shared" si="29"/>
        <v>2535.0000000000014</v>
      </c>
    </row>
    <row r="340" spans="2:11" x14ac:dyDescent="0.25">
      <c r="B340" s="1">
        <v>5000217293</v>
      </c>
      <c r="C340" s="1">
        <v>114</v>
      </c>
      <c r="D340" s="1">
        <v>1001928</v>
      </c>
      <c r="E340" s="1" t="s">
        <v>138</v>
      </c>
      <c r="F340" s="1"/>
      <c r="G340" s="2">
        <v>3438</v>
      </c>
      <c r="H340" s="1">
        <v>16.55</v>
      </c>
      <c r="I340" s="1">
        <v>17.850000000000001</v>
      </c>
      <c r="J340" s="1">
        <f t="shared" si="28"/>
        <v>1.3000000000000007</v>
      </c>
      <c r="K340" s="1">
        <f t="shared" si="29"/>
        <v>4469.4000000000024</v>
      </c>
    </row>
    <row r="341" spans="2:11" x14ac:dyDescent="0.25">
      <c r="B341" s="1">
        <v>5000220892</v>
      </c>
      <c r="C341" s="1">
        <v>114</v>
      </c>
      <c r="D341" s="1">
        <v>1001950</v>
      </c>
      <c r="E341" s="1" t="s">
        <v>151</v>
      </c>
      <c r="F341" s="1"/>
      <c r="G341" s="2">
        <v>4047</v>
      </c>
      <c r="H341" s="1">
        <v>16.45</v>
      </c>
      <c r="I341" s="1">
        <v>17.75</v>
      </c>
      <c r="J341" s="1">
        <f t="shared" si="28"/>
        <v>1.3000000000000007</v>
      </c>
      <c r="K341" s="1">
        <f t="shared" si="29"/>
        <v>5261.1000000000031</v>
      </c>
    </row>
    <row r="342" spans="2:11" x14ac:dyDescent="0.25">
      <c r="B342" s="1">
        <v>5000220578</v>
      </c>
      <c r="C342" s="1">
        <v>114</v>
      </c>
      <c r="D342" s="1">
        <v>1001952</v>
      </c>
      <c r="E342" s="1" t="s">
        <v>139</v>
      </c>
      <c r="F342" s="1"/>
      <c r="G342" s="2">
        <v>3108</v>
      </c>
      <c r="H342" s="1">
        <v>14.85</v>
      </c>
      <c r="I342" s="1">
        <v>16</v>
      </c>
      <c r="J342" s="1">
        <f t="shared" si="28"/>
        <v>1.1500000000000004</v>
      </c>
      <c r="K342" s="1">
        <f t="shared" si="29"/>
        <v>3574.2000000000012</v>
      </c>
    </row>
    <row r="343" spans="2:11" x14ac:dyDescent="0.25">
      <c r="B343" s="1">
        <v>5000219074</v>
      </c>
      <c r="C343" s="1">
        <v>114</v>
      </c>
      <c r="D343" s="1">
        <v>1001952</v>
      </c>
      <c r="E343" s="1" t="s">
        <v>139</v>
      </c>
      <c r="F343" s="1"/>
      <c r="G343" s="2">
        <v>3734</v>
      </c>
      <c r="H343" s="1">
        <v>14.85</v>
      </c>
      <c r="I343" s="1">
        <v>16</v>
      </c>
      <c r="J343" s="1">
        <f t="shared" si="28"/>
        <v>1.1500000000000004</v>
      </c>
      <c r="K343" s="1">
        <f t="shared" si="29"/>
        <v>4294.1000000000013</v>
      </c>
    </row>
    <row r="344" spans="2:11" x14ac:dyDescent="0.25">
      <c r="B344" s="1">
        <v>5000217293</v>
      </c>
      <c r="C344" s="1">
        <v>114</v>
      </c>
      <c r="D344" s="1">
        <v>1001952</v>
      </c>
      <c r="E344" s="1" t="s">
        <v>139</v>
      </c>
      <c r="F344" s="1"/>
      <c r="G344" s="2">
        <v>2190</v>
      </c>
      <c r="H344" s="1">
        <v>14.85</v>
      </c>
      <c r="I344" s="1">
        <v>16</v>
      </c>
      <c r="J344" s="1">
        <f t="shared" si="28"/>
        <v>1.1500000000000004</v>
      </c>
      <c r="K344" s="1">
        <f t="shared" si="29"/>
        <v>2518.5000000000009</v>
      </c>
    </row>
    <row r="345" spans="2:11" x14ac:dyDescent="0.25">
      <c r="B345" s="1">
        <v>5000222777</v>
      </c>
      <c r="C345" s="1">
        <v>114</v>
      </c>
      <c r="D345" s="1">
        <v>1002184</v>
      </c>
      <c r="E345" s="1" t="s">
        <v>141</v>
      </c>
      <c r="F345" s="1"/>
      <c r="G345" s="2">
        <v>3310</v>
      </c>
      <c r="H345" s="1">
        <v>19.55</v>
      </c>
      <c r="I345" s="1">
        <v>21.1</v>
      </c>
      <c r="J345" s="1">
        <f t="shared" si="28"/>
        <v>1.5500000000000007</v>
      </c>
      <c r="K345" s="1">
        <f t="shared" si="29"/>
        <v>5130.5000000000027</v>
      </c>
    </row>
    <row r="346" spans="2:11" x14ac:dyDescent="0.25">
      <c r="B346" s="1">
        <v>5000222669</v>
      </c>
      <c r="C346" s="1">
        <v>114</v>
      </c>
      <c r="D346" s="1">
        <v>1002184</v>
      </c>
      <c r="E346" s="1" t="s">
        <v>141</v>
      </c>
      <c r="F346" s="1"/>
      <c r="G346" s="2">
        <v>4520</v>
      </c>
      <c r="H346" s="1">
        <v>19.55</v>
      </c>
      <c r="I346" s="1">
        <v>21.1</v>
      </c>
      <c r="J346" s="1">
        <f t="shared" si="28"/>
        <v>1.5500000000000007</v>
      </c>
      <c r="K346" s="1">
        <f t="shared" si="29"/>
        <v>7006.0000000000036</v>
      </c>
    </row>
    <row r="347" spans="2:11" x14ac:dyDescent="0.25">
      <c r="B347" s="1">
        <v>5000222104</v>
      </c>
      <c r="C347" s="1">
        <v>114</v>
      </c>
      <c r="D347" s="1">
        <v>1002184</v>
      </c>
      <c r="E347" s="1" t="s">
        <v>141</v>
      </c>
      <c r="F347" s="1"/>
      <c r="G347" s="2">
        <v>4140</v>
      </c>
      <c r="H347" s="1">
        <v>19.55</v>
      </c>
      <c r="I347" s="1">
        <v>21.1</v>
      </c>
      <c r="J347" s="1">
        <f t="shared" si="28"/>
        <v>1.5500000000000007</v>
      </c>
      <c r="K347" s="1">
        <f t="shared" si="29"/>
        <v>6417.0000000000027</v>
      </c>
    </row>
    <row r="348" spans="2:11" x14ac:dyDescent="0.25">
      <c r="B348" s="1">
        <v>5000222033</v>
      </c>
      <c r="C348" s="1">
        <v>114</v>
      </c>
      <c r="D348" s="1">
        <v>1002184</v>
      </c>
      <c r="E348" s="1" t="s">
        <v>141</v>
      </c>
      <c r="F348" s="1"/>
      <c r="G348" s="2">
        <v>1080</v>
      </c>
      <c r="H348" s="1">
        <v>19.55</v>
      </c>
      <c r="I348" s="1">
        <v>21.1</v>
      </c>
      <c r="J348" s="1">
        <f t="shared" si="28"/>
        <v>1.5500000000000007</v>
      </c>
      <c r="K348" s="1">
        <f t="shared" si="29"/>
        <v>1674.0000000000007</v>
      </c>
    </row>
    <row r="349" spans="2:11" x14ac:dyDescent="0.25">
      <c r="B349" s="1">
        <v>5000222033</v>
      </c>
      <c r="C349" s="1">
        <v>114</v>
      </c>
      <c r="D349" s="1">
        <v>1002184</v>
      </c>
      <c r="E349" s="1" t="s">
        <v>141</v>
      </c>
      <c r="F349" s="1"/>
      <c r="G349" s="1">
        <v>54</v>
      </c>
      <c r="H349" s="1">
        <v>19.55</v>
      </c>
      <c r="I349" s="1">
        <v>21.1</v>
      </c>
      <c r="J349" s="1">
        <f t="shared" si="28"/>
        <v>1.5500000000000007</v>
      </c>
      <c r="K349" s="1">
        <f t="shared" si="29"/>
        <v>83.700000000000045</v>
      </c>
    </row>
    <row r="350" spans="2:11" x14ac:dyDescent="0.25">
      <c r="B350" s="1">
        <v>5000221537</v>
      </c>
      <c r="C350" s="1">
        <v>114</v>
      </c>
      <c r="D350" s="1">
        <v>1002184</v>
      </c>
      <c r="E350" s="1" t="s">
        <v>141</v>
      </c>
      <c r="F350" s="1"/>
      <c r="G350" s="2">
        <v>3550</v>
      </c>
      <c r="H350" s="1">
        <v>19.55</v>
      </c>
      <c r="I350" s="1">
        <v>21.1</v>
      </c>
      <c r="J350" s="1">
        <f t="shared" si="28"/>
        <v>1.5500000000000007</v>
      </c>
      <c r="K350" s="1">
        <f t="shared" si="29"/>
        <v>5502.5000000000027</v>
      </c>
    </row>
    <row r="351" spans="2:1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2:11" ht="15.75" thickBot="1" x14ac:dyDescent="0.3">
      <c r="B352" s="1"/>
      <c r="C352" s="1"/>
      <c r="D352" s="1"/>
      <c r="E352" s="1"/>
      <c r="F352" s="1"/>
      <c r="G352" s="36">
        <f>SUM(G309:G351)</f>
        <v>95727</v>
      </c>
      <c r="H352" s="36"/>
      <c r="I352" s="36"/>
      <c r="J352" s="47" t="s">
        <v>58</v>
      </c>
      <c r="K352" s="47">
        <f>SUM(K309:K350)</f>
        <v>126701.94999999998</v>
      </c>
    </row>
    <row r="353" spans="1:11" ht="15.75" thickBot="1" x14ac:dyDescent="0.3">
      <c r="G353" s="48">
        <f>G352+G305</f>
        <v>176236</v>
      </c>
      <c r="H353" s="49"/>
      <c r="I353" s="49"/>
      <c r="J353" s="49"/>
      <c r="K353" s="50">
        <f>K352+K305</f>
        <v>234345.74999999994</v>
      </c>
    </row>
    <row r="354" spans="1:11" x14ac:dyDescent="0.25">
      <c r="A354" s="6" t="s">
        <v>207</v>
      </c>
    </row>
    <row r="355" spans="1:11" x14ac:dyDescent="0.25">
      <c r="B355" s="1" t="s">
        <v>208</v>
      </c>
      <c r="C355" s="1" t="s">
        <v>168</v>
      </c>
      <c r="D355" s="1" t="s">
        <v>167</v>
      </c>
      <c r="E355" s="1" t="s">
        <v>169</v>
      </c>
      <c r="F355" s="1"/>
      <c r="G355" s="1" t="s">
        <v>22</v>
      </c>
      <c r="H355" s="1" t="s">
        <v>209</v>
      </c>
      <c r="I355" s="1" t="s">
        <v>210</v>
      </c>
      <c r="J355" s="1" t="s">
        <v>52</v>
      </c>
      <c r="K355" s="1" t="s">
        <v>21</v>
      </c>
    </row>
    <row r="356" spans="1:11" x14ac:dyDescent="0.25">
      <c r="B356" s="1">
        <v>5000219535</v>
      </c>
      <c r="C356" s="1">
        <v>114</v>
      </c>
      <c r="D356" s="1">
        <v>1001642</v>
      </c>
      <c r="E356" s="1" t="s">
        <v>211</v>
      </c>
      <c r="F356" s="1"/>
      <c r="G356" s="1">
        <v>499</v>
      </c>
      <c r="H356" s="1">
        <v>131.19999999999999</v>
      </c>
      <c r="I356" s="1">
        <v>137</v>
      </c>
      <c r="J356" s="1">
        <f>I356-H356</f>
        <v>5.8000000000000114</v>
      </c>
      <c r="K356" s="1">
        <f>G356*J356</f>
        <v>2894.2000000000057</v>
      </c>
    </row>
    <row r="357" spans="1:11" x14ac:dyDescent="0.25">
      <c r="B357" s="1">
        <v>5000219685</v>
      </c>
      <c r="C357" s="1">
        <v>114</v>
      </c>
      <c r="D357" s="1">
        <v>1002348</v>
      </c>
      <c r="E357" s="1" t="s">
        <v>212</v>
      </c>
      <c r="F357" s="1"/>
      <c r="G357" s="1">
        <v>500</v>
      </c>
      <c r="H357" s="1">
        <v>142.69999999999999</v>
      </c>
      <c r="I357" s="1">
        <v>150</v>
      </c>
      <c r="J357" s="1">
        <f>I357-H357</f>
        <v>7.3000000000000114</v>
      </c>
      <c r="K357" s="1">
        <f>G357*J357</f>
        <v>3650.0000000000055</v>
      </c>
    </row>
    <row r="358" spans="1:11" x14ac:dyDescent="0.25">
      <c r="B358" s="1">
        <v>5000219685</v>
      </c>
      <c r="C358" s="1">
        <v>114</v>
      </c>
      <c r="D358" s="1">
        <v>1002348</v>
      </c>
      <c r="E358" s="1" t="s">
        <v>212</v>
      </c>
      <c r="F358" s="1"/>
      <c r="G358" s="1">
        <v>12.4</v>
      </c>
      <c r="H358" s="1">
        <v>142.69999999999999</v>
      </c>
      <c r="I358" s="1">
        <v>150</v>
      </c>
      <c r="J358" s="1">
        <f>I358-H358</f>
        <v>7.3000000000000114</v>
      </c>
      <c r="K358" s="1">
        <f>G358*J358</f>
        <v>90.520000000000138</v>
      </c>
    </row>
    <row r="359" spans="1:1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5">
      <c r="B360" s="1"/>
      <c r="C360" s="1"/>
      <c r="D360" s="1"/>
      <c r="E360" s="1"/>
      <c r="F360" s="1"/>
      <c r="G360" s="5">
        <f>SUM(G356:G358)</f>
        <v>1011.4</v>
      </c>
      <c r="H360" s="1"/>
      <c r="I360" s="1"/>
      <c r="J360" s="5" t="s">
        <v>213</v>
      </c>
      <c r="K360" s="5">
        <f>SUM(K356:K358)</f>
        <v>6634.7200000000121</v>
      </c>
    </row>
    <row r="364" spans="1:11" x14ac:dyDescent="0.25">
      <c r="K364" s="6">
        <f>K360+K352+K305+K197+K169+K142+K85+N69+K71+K209</f>
        <v>689919.37274064939</v>
      </c>
    </row>
    <row r="365" spans="1:11" x14ac:dyDescent="0.25">
      <c r="E365" s="6" t="s">
        <v>214</v>
      </c>
      <c r="H36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5"/>
  <sheetViews>
    <sheetView topLeftCell="A7" workbookViewId="0">
      <selection activeCell="G22" sqref="G22"/>
    </sheetView>
  </sheetViews>
  <sheetFormatPr defaultRowHeight="15" x14ac:dyDescent="0.25"/>
  <cols>
    <col min="2" max="2" width="21.42578125" customWidth="1"/>
    <col min="3" max="3" width="27.42578125" customWidth="1"/>
    <col min="4" max="4" width="11" bestFit="1" customWidth="1"/>
    <col min="6" max="6" width="19.5703125" customWidth="1"/>
    <col min="7" max="7" width="15.140625" bestFit="1" customWidth="1"/>
    <col min="9" max="9" width="26.5703125" customWidth="1"/>
  </cols>
  <sheetData>
    <row r="5" spans="2:10" ht="21" x14ac:dyDescent="0.35">
      <c r="B5" s="71" t="s">
        <v>912</v>
      </c>
      <c r="C5" s="29"/>
    </row>
    <row r="6" spans="2:10" ht="40.5" x14ac:dyDescent="0.25">
      <c r="B6" s="27" t="s">
        <v>77</v>
      </c>
      <c r="C6" s="27" t="s">
        <v>32</v>
      </c>
      <c r="D6" s="22" t="s">
        <v>33</v>
      </c>
      <c r="E6" s="22" t="s">
        <v>24</v>
      </c>
      <c r="F6" s="22" t="s">
        <v>34</v>
      </c>
      <c r="G6" s="22" t="s">
        <v>35</v>
      </c>
      <c r="H6" s="22" t="s">
        <v>36</v>
      </c>
      <c r="I6" s="21" t="s">
        <v>37</v>
      </c>
      <c r="J6" s="1" t="s">
        <v>57</v>
      </c>
    </row>
    <row r="7" spans="2:10" x14ac:dyDescent="0.25">
      <c r="B7" s="182" t="s">
        <v>569</v>
      </c>
      <c r="C7" s="166" t="s">
        <v>570</v>
      </c>
      <c r="D7" s="167">
        <f>March2017!D45</f>
        <v>1953140</v>
      </c>
      <c r="E7" s="168" t="s">
        <v>39</v>
      </c>
      <c r="F7" s="168" t="s">
        <v>571</v>
      </c>
      <c r="G7" s="167">
        <f>March2017!O45</f>
        <v>10283.956923076939</v>
      </c>
      <c r="H7" s="169"/>
      <c r="I7" s="170" t="s">
        <v>101</v>
      </c>
      <c r="J7" s="168" t="s">
        <v>48</v>
      </c>
    </row>
    <row r="8" spans="2:10" ht="30" x14ac:dyDescent="0.25">
      <c r="B8" s="184" t="s">
        <v>777</v>
      </c>
      <c r="C8" s="172" t="s">
        <v>47</v>
      </c>
      <c r="D8" s="173">
        <f>March2017!D60</f>
        <v>70000</v>
      </c>
      <c r="E8" s="174" t="s">
        <v>29</v>
      </c>
      <c r="F8" s="174" t="s">
        <v>55</v>
      </c>
      <c r="G8" s="196">
        <f>March2017!J60</f>
        <v>20500</v>
      </c>
      <c r="H8" s="175"/>
      <c r="I8" s="176" t="s">
        <v>41</v>
      </c>
      <c r="J8" s="174" t="s">
        <v>48</v>
      </c>
    </row>
    <row r="9" spans="2:10" ht="30" x14ac:dyDescent="0.25">
      <c r="B9" s="184" t="s">
        <v>778</v>
      </c>
      <c r="C9" s="172" t="s">
        <v>573</v>
      </c>
      <c r="D9" s="173">
        <f>March2017!E60</f>
        <v>50000</v>
      </c>
      <c r="E9" s="174" t="s">
        <v>29</v>
      </c>
      <c r="F9" s="174" t="s">
        <v>574</v>
      </c>
      <c r="G9" s="196">
        <f>March2017!N60</f>
        <v>2000</v>
      </c>
      <c r="H9" s="175"/>
      <c r="I9" s="176" t="s">
        <v>41</v>
      </c>
      <c r="J9" s="174"/>
    </row>
    <row r="10" spans="2:10" x14ac:dyDescent="0.25">
      <c r="B10" s="185" t="s">
        <v>835</v>
      </c>
      <c r="C10" s="172" t="s">
        <v>836</v>
      </c>
      <c r="D10" s="173">
        <f>March2017!F162</f>
        <v>17282.3</v>
      </c>
      <c r="E10" s="174"/>
      <c r="F10" s="174">
        <v>4.7</v>
      </c>
      <c r="G10" s="196">
        <f>March2017!K162</f>
        <v>81226.809999999794</v>
      </c>
      <c r="H10" s="175"/>
      <c r="I10" s="176" t="s">
        <v>430</v>
      </c>
      <c r="J10" s="174" t="s">
        <v>48</v>
      </c>
    </row>
    <row r="11" spans="2:10" x14ac:dyDescent="0.25">
      <c r="B11" s="62" t="s">
        <v>883</v>
      </c>
      <c r="C11" s="62" t="s">
        <v>629</v>
      </c>
      <c r="D11" s="84">
        <f>March2017!F217</f>
        <v>53460</v>
      </c>
      <c r="E11" s="56" t="s">
        <v>25</v>
      </c>
      <c r="F11" s="56" t="s">
        <v>837</v>
      </c>
      <c r="G11" s="84">
        <f>March2017!K217</f>
        <v>63670.86</v>
      </c>
      <c r="H11" s="84"/>
      <c r="I11" s="96" t="s">
        <v>579</v>
      </c>
      <c r="J11" s="174"/>
    </row>
    <row r="12" spans="2:10" ht="27" x14ac:dyDescent="0.25">
      <c r="B12" s="183" t="s">
        <v>308</v>
      </c>
      <c r="C12" s="178" t="s">
        <v>30</v>
      </c>
      <c r="D12" s="167">
        <f>March2017!D64</f>
        <v>503.9</v>
      </c>
      <c r="E12" s="168" t="s">
        <v>23</v>
      </c>
      <c r="F12" s="168" t="s">
        <v>307</v>
      </c>
      <c r="G12" s="167">
        <f>March2017!J66</f>
        <v>4131.9800000000087</v>
      </c>
      <c r="H12" s="169"/>
      <c r="I12" s="170" t="s">
        <v>97</v>
      </c>
      <c r="J12" s="168" t="s">
        <v>48</v>
      </c>
    </row>
    <row r="13" spans="2:10" x14ac:dyDescent="0.25">
      <c r="B13" s="138" t="s">
        <v>630</v>
      </c>
      <c r="C13" s="62" t="s">
        <v>639</v>
      </c>
      <c r="D13" s="55">
        <f>March2017!D229</f>
        <v>50000</v>
      </c>
      <c r="E13" s="168"/>
      <c r="F13" s="168"/>
      <c r="G13" s="167">
        <f>March2017!I231</f>
        <v>12500</v>
      </c>
      <c r="H13" s="169"/>
      <c r="I13" s="170"/>
      <c r="J13" s="168"/>
    </row>
    <row r="14" spans="2:10" x14ac:dyDescent="0.25">
      <c r="B14" s="183" t="s">
        <v>884</v>
      </c>
      <c r="C14" s="166" t="s">
        <v>885</v>
      </c>
      <c r="D14" s="167">
        <f>March2017!D239</f>
        <v>216500</v>
      </c>
      <c r="E14" s="168"/>
      <c r="F14" s="168"/>
      <c r="G14" s="167">
        <f>March2017!I239</f>
        <v>36805.000000000029</v>
      </c>
      <c r="H14" s="169"/>
      <c r="I14" s="170"/>
      <c r="J14" s="168"/>
    </row>
    <row r="15" spans="2:10" x14ac:dyDescent="0.25">
      <c r="B15" s="183" t="s">
        <v>886</v>
      </c>
      <c r="C15" s="166" t="s">
        <v>885</v>
      </c>
      <c r="D15" s="167"/>
      <c r="E15" s="168"/>
      <c r="F15" s="168" t="s">
        <v>887</v>
      </c>
      <c r="G15" s="167">
        <v>100000</v>
      </c>
      <c r="H15" s="169"/>
      <c r="I15" s="170" t="s">
        <v>887</v>
      </c>
      <c r="J15" s="168"/>
    </row>
    <row r="16" spans="2:10" x14ac:dyDescent="0.25">
      <c r="B16" s="62" t="s">
        <v>421</v>
      </c>
      <c r="C16" s="62" t="s">
        <v>422</v>
      </c>
      <c r="D16" s="84">
        <f>March2017!G246</f>
        <v>8645</v>
      </c>
      <c r="E16" s="56" t="s">
        <v>29</v>
      </c>
      <c r="F16" s="56" t="s">
        <v>426</v>
      </c>
      <c r="G16" s="84">
        <f>March2017!L246</f>
        <v>122586.09999999999</v>
      </c>
      <c r="H16" s="84"/>
      <c r="I16" s="96" t="s">
        <v>423</v>
      </c>
      <c r="J16" s="58" t="s">
        <v>49</v>
      </c>
    </row>
    <row r="17" spans="2:10" ht="30" x14ac:dyDescent="0.25">
      <c r="B17" s="62" t="s">
        <v>421</v>
      </c>
      <c r="C17" s="62" t="s">
        <v>910</v>
      </c>
      <c r="D17" s="84">
        <v>170</v>
      </c>
      <c r="E17" s="56" t="s">
        <v>29</v>
      </c>
      <c r="F17" s="56"/>
      <c r="G17" s="84">
        <f>March2017!N256</f>
        <v>18767.250000000015</v>
      </c>
      <c r="H17" s="84"/>
      <c r="I17" s="96" t="s">
        <v>423</v>
      </c>
      <c r="J17" s="58" t="s">
        <v>49</v>
      </c>
    </row>
    <row r="18" spans="2:10" ht="30" x14ac:dyDescent="0.25">
      <c r="B18" s="62" t="s">
        <v>911</v>
      </c>
      <c r="C18" s="62" t="s">
        <v>425</v>
      </c>
      <c r="D18" s="84">
        <v>6</v>
      </c>
      <c r="E18" s="56" t="s">
        <v>427</v>
      </c>
      <c r="F18" s="56" t="s">
        <v>909</v>
      </c>
      <c r="G18" s="84">
        <f>March2017!G265</f>
        <v>168600.00000000003</v>
      </c>
      <c r="H18" s="84"/>
      <c r="I18" s="96" t="s">
        <v>429</v>
      </c>
      <c r="J18" s="58" t="s">
        <v>49</v>
      </c>
    </row>
    <row r="19" spans="2:10" x14ac:dyDescent="0.25">
      <c r="B19" s="183"/>
      <c r="C19" s="166"/>
      <c r="D19" s="167"/>
      <c r="E19" s="168"/>
      <c r="F19" s="168"/>
      <c r="G19" s="167"/>
      <c r="H19" s="169"/>
      <c r="I19" s="170"/>
      <c r="J19" s="168"/>
    </row>
    <row r="20" spans="2:10" x14ac:dyDescent="0.25">
      <c r="B20" s="188">
        <v>42736</v>
      </c>
      <c r="C20" s="166" t="s">
        <v>780</v>
      </c>
      <c r="D20" s="167">
        <f>March2017!D121</f>
        <v>22082.960000000006</v>
      </c>
      <c r="E20" s="168"/>
      <c r="F20" s="168"/>
      <c r="G20" s="167">
        <f>March2017!K121</f>
        <v>83728.72800000009</v>
      </c>
      <c r="H20" s="169"/>
      <c r="I20" s="170" t="s">
        <v>785</v>
      </c>
      <c r="J20" s="168"/>
    </row>
    <row r="21" spans="2:10" x14ac:dyDescent="0.25">
      <c r="B21" s="188">
        <v>42736</v>
      </c>
      <c r="C21" s="166" t="s">
        <v>780</v>
      </c>
      <c r="D21" s="167">
        <f>March2017!F142</f>
        <v>17282.3</v>
      </c>
      <c r="E21" s="168"/>
      <c r="F21" s="168"/>
      <c r="G21" s="167">
        <f>March2017!K142</f>
        <v>50982.7849999998</v>
      </c>
      <c r="H21" s="169"/>
      <c r="I21" s="170" t="s">
        <v>40</v>
      </c>
      <c r="J21" s="168"/>
    </row>
    <row r="22" spans="2:10" x14ac:dyDescent="0.25">
      <c r="B22" s="188">
        <v>42736</v>
      </c>
      <c r="C22" s="166" t="s">
        <v>786</v>
      </c>
      <c r="D22" s="167">
        <f>March2017!F209</f>
        <v>30717</v>
      </c>
      <c r="E22" s="168"/>
      <c r="F22" s="168"/>
      <c r="G22" s="167">
        <f>March2017!K209</f>
        <v>75264.999999999913</v>
      </c>
      <c r="H22" s="169"/>
      <c r="I22" s="170" t="s">
        <v>882</v>
      </c>
      <c r="J22" s="168"/>
    </row>
    <row r="23" spans="2:10" x14ac:dyDescent="0.25">
      <c r="B23" s="188">
        <v>42736</v>
      </c>
      <c r="C23" s="166" t="s">
        <v>786</v>
      </c>
      <c r="D23" s="167">
        <f>'Feb 2017'!F188</f>
        <v>0</v>
      </c>
      <c r="E23" s="168"/>
      <c r="F23" s="168"/>
      <c r="G23" s="167">
        <f>'Feb 2017'!K188</f>
        <v>0</v>
      </c>
      <c r="H23" s="169"/>
      <c r="I23" s="170"/>
      <c r="J23" s="168"/>
    </row>
    <row r="24" spans="2:10" x14ac:dyDescent="0.25">
      <c r="B24" s="171"/>
      <c r="C24" s="178"/>
      <c r="D24" s="167"/>
      <c r="E24" s="168"/>
      <c r="F24" s="168"/>
      <c r="G24" s="167"/>
      <c r="H24" s="169"/>
      <c r="I24" s="170"/>
      <c r="J24" s="168"/>
    </row>
    <row r="25" spans="2:10" ht="19.5" x14ac:dyDescent="0.25">
      <c r="B25" s="179"/>
      <c r="C25" s="197" t="s">
        <v>42</v>
      </c>
      <c r="D25" s="198"/>
      <c r="E25" s="180"/>
      <c r="F25" s="180"/>
      <c r="G25" s="93">
        <f>SUM(G7:G24)</f>
        <v>851048.46992307657</v>
      </c>
      <c r="H25" s="93">
        <f>SUM(H7:H24)</f>
        <v>0</v>
      </c>
      <c r="I25" s="94">
        <f>SUM(G25:H25)</f>
        <v>851048.46992307657</v>
      </c>
      <c r="J25" s="149"/>
    </row>
  </sheetData>
  <mergeCells count="1">
    <mergeCell ref="C25:D2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zoomScale="86" zoomScaleNormal="86" workbookViewId="0">
      <selection activeCell="D17" sqref="D17"/>
    </sheetView>
  </sheetViews>
  <sheetFormatPr defaultColWidth="19.7109375" defaultRowHeight="15" x14ac:dyDescent="0.25"/>
  <cols>
    <col min="2" max="2" width="21.5703125" bestFit="1" customWidth="1"/>
    <col min="3" max="3" width="22.42578125" style="29" customWidth="1"/>
    <col min="4" max="4" width="13.5703125" bestFit="1" customWidth="1"/>
    <col min="5" max="5" width="14.140625" customWidth="1"/>
    <col min="6" max="6" width="18.140625" customWidth="1"/>
    <col min="7" max="7" width="18.7109375" bestFit="1" customWidth="1"/>
    <col min="8" max="8" width="23.85546875" bestFit="1" customWidth="1"/>
    <col min="9" max="9" width="21.85546875" bestFit="1" customWidth="1"/>
    <col min="10" max="10" width="10.85546875" customWidth="1"/>
  </cols>
  <sheetData>
    <row r="2" spans="2:10" ht="21" x14ac:dyDescent="0.35">
      <c r="B2" s="71" t="s">
        <v>258</v>
      </c>
    </row>
    <row r="3" spans="2:10" ht="27" x14ac:dyDescent="0.25">
      <c r="B3" s="5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ht="40.5" x14ac:dyDescent="0.25">
      <c r="B4" s="30" t="s">
        <v>73</v>
      </c>
      <c r="C4" s="100" t="s">
        <v>93</v>
      </c>
      <c r="D4" s="100">
        <f>'APR2016'!F14</f>
        <v>499955</v>
      </c>
      <c r="E4" s="100" t="s">
        <v>25</v>
      </c>
      <c r="F4" s="100" t="s">
        <v>117</v>
      </c>
      <c r="G4" s="100"/>
      <c r="H4" s="100">
        <f>'APR2016'!K14</f>
        <v>30280.750000000029</v>
      </c>
      <c r="I4" s="100" t="s">
        <v>26</v>
      </c>
      <c r="J4" s="23" t="s">
        <v>48</v>
      </c>
    </row>
    <row r="5" spans="2:10" ht="27" x14ac:dyDescent="0.25">
      <c r="B5" s="30" t="s">
        <v>94</v>
      </c>
      <c r="C5" s="100" t="s">
        <v>27</v>
      </c>
      <c r="D5" s="100">
        <f>'APR2016'!E92</f>
        <v>40625.19</v>
      </c>
      <c r="E5" s="100" t="s">
        <v>23</v>
      </c>
      <c r="F5" s="100" t="s">
        <v>56</v>
      </c>
      <c r="G5" s="100">
        <f>'APR2016'!E99</f>
        <v>99531.71549999954</v>
      </c>
      <c r="H5" s="100">
        <f>'APR2016'!J94</f>
        <v>286239.13958827319</v>
      </c>
      <c r="I5" s="100" t="s">
        <v>28</v>
      </c>
      <c r="J5" s="23" t="s">
        <v>48</v>
      </c>
    </row>
    <row r="6" spans="2:10" x14ac:dyDescent="0.25">
      <c r="B6" s="30" t="s">
        <v>95</v>
      </c>
      <c r="C6" s="100" t="s">
        <v>27</v>
      </c>
      <c r="D6" s="100">
        <f>'APR2016'!E116</f>
        <v>13067.9</v>
      </c>
      <c r="E6" s="100" t="s">
        <v>23</v>
      </c>
      <c r="F6" s="100" t="s">
        <v>96</v>
      </c>
      <c r="G6" s="100">
        <f>'APR2016'!E124</f>
        <v>32016.35499999985</v>
      </c>
      <c r="H6" s="100">
        <f>'APR2016'!I118</f>
        <v>297088.30475707946</v>
      </c>
      <c r="I6" s="100" t="s">
        <v>40</v>
      </c>
      <c r="J6" s="23" t="s">
        <v>48</v>
      </c>
    </row>
    <row r="7" spans="2:10" ht="27" x14ac:dyDescent="0.25">
      <c r="B7" s="30" t="s">
        <v>76</v>
      </c>
      <c r="C7" s="100" t="s">
        <v>68</v>
      </c>
      <c r="D7" s="100">
        <f>'APR2016'!E247</f>
        <v>606</v>
      </c>
      <c r="E7" s="100" t="s">
        <v>23</v>
      </c>
      <c r="F7" s="100" t="s">
        <v>69</v>
      </c>
      <c r="G7" s="100"/>
      <c r="H7" s="100">
        <f>'APR2016'!O248</f>
        <v>26126.261818181818</v>
      </c>
      <c r="I7" s="100" t="s">
        <v>40</v>
      </c>
      <c r="J7" s="23" t="s">
        <v>48</v>
      </c>
    </row>
    <row r="8" spans="2:10" ht="27" x14ac:dyDescent="0.25">
      <c r="B8" s="30" t="s">
        <v>98</v>
      </c>
      <c r="C8" s="100" t="s">
        <v>99</v>
      </c>
      <c r="D8" s="100">
        <f>'APR2016'!E176</f>
        <v>2395705</v>
      </c>
      <c r="E8" s="100" t="s">
        <v>39</v>
      </c>
      <c r="F8" s="100" t="s">
        <v>100</v>
      </c>
      <c r="G8" s="100"/>
      <c r="H8" s="100">
        <f>'APR2016'!J176</f>
        <v>39477.859999999928</v>
      </c>
      <c r="I8" s="100" t="s">
        <v>101</v>
      </c>
      <c r="J8" s="23" t="s">
        <v>48</v>
      </c>
    </row>
    <row r="9" spans="2:10" ht="27" x14ac:dyDescent="0.25">
      <c r="B9" s="30" t="s">
        <v>98</v>
      </c>
      <c r="C9" s="100" t="s">
        <v>102</v>
      </c>
      <c r="D9" s="100">
        <f>'APR2016'!E196</f>
        <v>10449.19</v>
      </c>
      <c r="E9" s="100" t="s">
        <v>23</v>
      </c>
      <c r="F9" s="100" t="s">
        <v>103</v>
      </c>
      <c r="G9" s="100"/>
      <c r="H9" s="100">
        <f>'APR2016'!J196</f>
        <v>15182.059000000048</v>
      </c>
      <c r="I9" s="100" t="s">
        <v>101</v>
      </c>
      <c r="J9" s="23" t="s">
        <v>48</v>
      </c>
    </row>
    <row r="10" spans="2:10" x14ac:dyDescent="0.25">
      <c r="B10" s="30" t="s">
        <v>162</v>
      </c>
      <c r="C10" s="100" t="s">
        <v>152</v>
      </c>
      <c r="D10" s="100">
        <f>'APR2016'!E364</f>
        <v>153012</v>
      </c>
      <c r="E10" s="100" t="s">
        <v>29</v>
      </c>
      <c r="F10" s="100"/>
      <c r="G10" s="100">
        <f>'APR2016'!J364</f>
        <v>199354.09999999998</v>
      </c>
      <c r="H10" s="100"/>
      <c r="I10" s="100" t="s">
        <v>164</v>
      </c>
      <c r="J10" s="23" t="s">
        <v>48</v>
      </c>
    </row>
    <row r="11" spans="2:10" x14ac:dyDescent="0.25">
      <c r="B11" s="30" t="s">
        <v>162</v>
      </c>
      <c r="C11" s="100" t="s">
        <v>165</v>
      </c>
      <c r="D11" s="100">
        <f>'APR2016'!E242</f>
        <v>58302.590000000004</v>
      </c>
      <c r="E11" s="100"/>
      <c r="F11" s="100"/>
      <c r="G11" s="100">
        <f>'APR2016'!F242</f>
        <v>75582.300999999658</v>
      </c>
      <c r="H11" s="100"/>
      <c r="I11" s="100" t="s">
        <v>163</v>
      </c>
      <c r="J11" s="23"/>
    </row>
    <row r="12" spans="2:10" ht="30" x14ac:dyDescent="0.25">
      <c r="B12" s="62" t="s">
        <v>370</v>
      </c>
      <c r="C12" s="62" t="s">
        <v>47</v>
      </c>
      <c r="D12" s="84">
        <f>Sheet1!E6</f>
        <v>40700</v>
      </c>
      <c r="E12" s="56" t="s">
        <v>29</v>
      </c>
      <c r="F12" s="56" t="s">
        <v>55</v>
      </c>
      <c r="G12" s="84">
        <f>Sheet1!BC6</f>
        <v>1221</v>
      </c>
      <c r="H12" s="84">
        <v>6105</v>
      </c>
      <c r="I12" s="96" t="s">
        <v>41</v>
      </c>
      <c r="J12" s="58" t="s">
        <v>48</v>
      </c>
    </row>
    <row r="13" spans="2:10" ht="19.5" x14ac:dyDescent="0.25">
      <c r="B13" s="19"/>
      <c r="C13" s="205" t="s">
        <v>42</v>
      </c>
      <c r="D13" s="206"/>
      <c r="E13" s="102"/>
      <c r="F13" s="102"/>
      <c r="G13" s="102">
        <f>SUM(G4:G12)</f>
        <v>407705.47149999905</v>
      </c>
      <c r="H13" s="103">
        <f>SUM(H4:H12)</f>
        <v>700499.37516353454</v>
      </c>
      <c r="I13" s="102">
        <f>G13+H13</f>
        <v>1108204.8466635337</v>
      </c>
      <c r="J13" s="23"/>
    </row>
    <row r="21" spans="6:6" x14ac:dyDescent="0.25">
      <c r="F21" s="64"/>
    </row>
  </sheetData>
  <mergeCells count="1">
    <mergeCell ref="C13:D1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9"/>
  <sheetViews>
    <sheetView topLeftCell="D235" zoomScaleNormal="100" workbookViewId="0">
      <selection activeCell="C244" sqref="C244:O248"/>
    </sheetView>
  </sheetViews>
  <sheetFormatPr defaultRowHeight="15" x14ac:dyDescent="0.25"/>
  <cols>
    <col min="2" max="2" width="10.5703125" customWidth="1"/>
    <col min="3" max="3" width="13.140625" customWidth="1"/>
    <col min="4" max="4" width="43.7109375" bestFit="1" customWidth="1"/>
    <col min="6" max="6" width="12" customWidth="1"/>
    <col min="7" max="7" width="12.42578125" customWidth="1"/>
    <col min="8" max="8" width="12.5703125" bestFit="1" customWidth="1"/>
    <col min="9" max="9" width="11.5703125" bestFit="1" customWidth="1"/>
    <col min="10" max="10" width="15" bestFit="1" customWidth="1"/>
    <col min="11" max="11" width="13.140625" bestFit="1" customWidth="1"/>
    <col min="15" max="15" width="10.85546875" customWidth="1"/>
    <col min="18" max="18" width="11.85546875" bestFit="1" customWidth="1"/>
    <col min="19" max="19" width="10" bestFit="1" customWidth="1"/>
  </cols>
  <sheetData>
    <row r="1" spans="2:11" x14ac:dyDescent="0.25">
      <c r="C1" s="38">
        <v>42461</v>
      </c>
    </row>
    <row r="4" spans="2:11" x14ac:dyDescent="0.25">
      <c r="B4" s="24" t="s">
        <v>226</v>
      </c>
      <c r="C4" s="12"/>
      <c r="D4" s="12"/>
      <c r="E4" s="12"/>
      <c r="F4" s="12"/>
      <c r="G4" s="12"/>
      <c r="H4" s="12" t="s">
        <v>230</v>
      </c>
      <c r="I4" s="12"/>
      <c r="J4" s="12"/>
      <c r="K4" s="12"/>
    </row>
    <row r="5" spans="2:11" x14ac:dyDescent="0.25">
      <c r="B5" s="12"/>
      <c r="C5" s="12"/>
      <c r="D5" s="12"/>
      <c r="E5" s="12"/>
      <c r="F5" s="12"/>
      <c r="G5" s="12"/>
      <c r="I5" s="12" t="s">
        <v>51</v>
      </c>
      <c r="J5" s="12" t="s">
        <v>52</v>
      </c>
      <c r="K5" s="12" t="s">
        <v>21</v>
      </c>
    </row>
    <row r="6" spans="2:11" x14ac:dyDescent="0.25">
      <c r="B6" s="12"/>
      <c r="C6" s="12" t="s">
        <v>227</v>
      </c>
      <c r="D6" s="12" t="s">
        <v>228</v>
      </c>
      <c r="E6" s="12"/>
      <c r="F6" s="12" t="s">
        <v>229</v>
      </c>
      <c r="G6" s="12" t="s">
        <v>24</v>
      </c>
      <c r="H6" s="12" t="s">
        <v>50</v>
      </c>
      <c r="I6" s="12" t="s">
        <v>72</v>
      </c>
      <c r="J6" s="12" t="s">
        <v>231</v>
      </c>
      <c r="K6" s="12" t="s">
        <v>232</v>
      </c>
    </row>
    <row r="7" spans="2:11" x14ac:dyDescent="0.25">
      <c r="B7" s="12"/>
      <c r="C7" s="12">
        <v>1001873</v>
      </c>
      <c r="D7" s="12" t="s">
        <v>118</v>
      </c>
      <c r="E7" s="12"/>
      <c r="F7" s="13">
        <v>50850</v>
      </c>
      <c r="G7" s="12" t="s">
        <v>0</v>
      </c>
      <c r="H7" s="12">
        <v>1.32</v>
      </c>
      <c r="I7" s="12">
        <v>1.51</v>
      </c>
      <c r="J7" s="12">
        <f t="shared" ref="J7:J12" si="0">I7-H7</f>
        <v>0.18999999999999995</v>
      </c>
      <c r="K7" s="12">
        <f t="shared" ref="K7:K12" si="1">J7*F7</f>
        <v>9661.4999999999982</v>
      </c>
    </row>
    <row r="8" spans="2:11" x14ac:dyDescent="0.25">
      <c r="B8" s="12"/>
      <c r="C8" s="12">
        <v>1002649</v>
      </c>
      <c r="D8" s="12" t="s">
        <v>119</v>
      </c>
      <c r="E8" s="12"/>
      <c r="F8" s="13">
        <v>45900</v>
      </c>
      <c r="G8" s="12" t="s">
        <v>0</v>
      </c>
      <c r="H8" s="12">
        <v>2.3199999999999998</v>
      </c>
      <c r="I8" s="12">
        <v>2.33</v>
      </c>
      <c r="J8" s="12">
        <f t="shared" si="0"/>
        <v>1.0000000000000231E-2</v>
      </c>
      <c r="K8" s="12">
        <f t="shared" si="1"/>
        <v>459.00000000001057</v>
      </c>
    </row>
    <row r="9" spans="2:11" x14ac:dyDescent="0.25">
      <c r="B9" s="12"/>
      <c r="C9" s="12">
        <v>1002705</v>
      </c>
      <c r="D9" s="12" t="s">
        <v>120</v>
      </c>
      <c r="E9" s="12"/>
      <c r="F9" s="13">
        <v>1700</v>
      </c>
      <c r="G9" s="12" t="s">
        <v>0</v>
      </c>
      <c r="H9" s="12">
        <v>0.99</v>
      </c>
      <c r="I9" s="12">
        <v>1.04</v>
      </c>
      <c r="J9" s="12">
        <f t="shared" si="0"/>
        <v>5.0000000000000044E-2</v>
      </c>
      <c r="K9" s="12">
        <f t="shared" si="1"/>
        <v>85.000000000000071</v>
      </c>
    </row>
    <row r="10" spans="2:11" x14ac:dyDescent="0.25">
      <c r="B10" s="12"/>
      <c r="C10" s="12">
        <v>1002705</v>
      </c>
      <c r="D10" s="12" t="s">
        <v>120</v>
      </c>
      <c r="E10" s="12"/>
      <c r="F10" s="13">
        <v>62580</v>
      </c>
      <c r="G10" s="12" t="s">
        <v>0</v>
      </c>
      <c r="H10" s="12">
        <v>0.99</v>
      </c>
      <c r="I10" s="12">
        <v>1.04</v>
      </c>
      <c r="J10" s="12">
        <f t="shared" si="0"/>
        <v>5.0000000000000044E-2</v>
      </c>
      <c r="K10" s="12">
        <f t="shared" si="1"/>
        <v>3129.0000000000027</v>
      </c>
    </row>
    <row r="11" spans="2:11" x14ac:dyDescent="0.25">
      <c r="B11" s="12"/>
      <c r="C11" s="12">
        <v>1002705</v>
      </c>
      <c r="D11" s="12" t="s">
        <v>120</v>
      </c>
      <c r="E11" s="12"/>
      <c r="F11" s="13">
        <v>203700</v>
      </c>
      <c r="G11" s="12" t="s">
        <v>0</v>
      </c>
      <c r="H11" s="12">
        <v>0.99</v>
      </c>
      <c r="I11" s="12">
        <v>1.04</v>
      </c>
      <c r="J11" s="12">
        <f t="shared" si="0"/>
        <v>5.0000000000000044E-2</v>
      </c>
      <c r="K11" s="12">
        <f t="shared" si="1"/>
        <v>10185.000000000009</v>
      </c>
    </row>
    <row r="12" spans="2:11" x14ac:dyDescent="0.25">
      <c r="B12" s="12"/>
      <c r="C12" s="12">
        <v>1002705</v>
      </c>
      <c r="D12" s="12" t="s">
        <v>120</v>
      </c>
      <c r="E12" s="12"/>
      <c r="F12" s="13">
        <v>135225</v>
      </c>
      <c r="G12" s="12" t="s">
        <v>0</v>
      </c>
      <c r="H12" s="12">
        <v>0.99</v>
      </c>
      <c r="I12" s="12">
        <v>1.04</v>
      </c>
      <c r="J12" s="12">
        <f t="shared" si="0"/>
        <v>5.0000000000000044E-2</v>
      </c>
      <c r="K12" s="12">
        <f t="shared" si="1"/>
        <v>6761.2500000000064</v>
      </c>
    </row>
    <row r="13" spans="2:11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2:11" x14ac:dyDescent="0.25">
      <c r="B14" s="12"/>
      <c r="C14" s="12"/>
      <c r="D14" s="12"/>
      <c r="E14" s="12"/>
      <c r="F14" s="12">
        <f>SUM(F7:F12)</f>
        <v>499955</v>
      </c>
      <c r="G14" s="12"/>
      <c r="H14" s="12"/>
      <c r="I14" s="12"/>
      <c r="J14" s="12" t="s">
        <v>21</v>
      </c>
      <c r="K14" s="12">
        <f>SUM(K7:K12)</f>
        <v>30280.750000000029</v>
      </c>
    </row>
    <row r="15" spans="2:11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2:11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9" spans="2:23" ht="60" x14ac:dyDescent="0.25">
      <c r="B19" s="12"/>
      <c r="C19" s="12"/>
      <c r="D19" s="12"/>
      <c r="E19" s="12" t="s">
        <v>22</v>
      </c>
      <c r="F19" s="25" t="s">
        <v>61</v>
      </c>
      <c r="G19" s="25" t="s">
        <v>62</v>
      </c>
      <c r="H19" s="12" t="s">
        <v>52</v>
      </c>
      <c r="I19" s="12" t="s">
        <v>233</v>
      </c>
      <c r="J19" s="17" t="s">
        <v>53</v>
      </c>
      <c r="K19" s="17" t="s">
        <v>54</v>
      </c>
      <c r="L19" s="17" t="s">
        <v>1</v>
      </c>
      <c r="M19" s="17" t="s">
        <v>2</v>
      </c>
      <c r="N19" s="17" t="s">
        <v>3</v>
      </c>
      <c r="O19" s="17" t="s">
        <v>4</v>
      </c>
      <c r="W19" s="28" t="s">
        <v>128</v>
      </c>
    </row>
    <row r="20" spans="2:23" x14ac:dyDescent="0.25">
      <c r="B20" s="1">
        <v>1000590</v>
      </c>
      <c r="C20" s="12">
        <v>114</v>
      </c>
      <c r="D20" s="1" t="s">
        <v>10</v>
      </c>
      <c r="E20" s="1">
        <v>856.97</v>
      </c>
      <c r="F20" s="25">
        <v>150.15</v>
      </c>
      <c r="G20" s="25">
        <v>151</v>
      </c>
      <c r="H20" s="12">
        <f t="shared" ref="H20:H83" si="2">G20-F20</f>
        <v>0.84999999999999432</v>
      </c>
      <c r="I20" s="12">
        <f>H20*E20</f>
        <v>728.42449999999519</v>
      </c>
      <c r="J20" s="9">
        <v>15.4</v>
      </c>
      <c r="K20" s="9">
        <v>14.43</v>
      </c>
      <c r="L20" s="7">
        <f>E20/J20</f>
        <v>55.647402597402596</v>
      </c>
      <c r="M20" s="7">
        <f>E20/K20</f>
        <v>59.38808038808039</v>
      </c>
      <c r="N20" s="7">
        <f>M20-L20</f>
        <v>3.7406777906777933</v>
      </c>
      <c r="O20" s="10">
        <f t="shared" ref="O20:O83" si="3">N20*J20*G20</f>
        <v>8698.5721344421399</v>
      </c>
    </row>
    <row r="21" spans="2:23" x14ac:dyDescent="0.25">
      <c r="B21" s="1">
        <v>1000590</v>
      </c>
      <c r="C21" s="12">
        <v>114</v>
      </c>
      <c r="D21" s="1" t="s">
        <v>10</v>
      </c>
      <c r="E21" s="1">
        <v>932.67</v>
      </c>
      <c r="F21" s="25">
        <v>150.15</v>
      </c>
      <c r="G21" s="25">
        <v>151</v>
      </c>
      <c r="H21" s="12">
        <f t="shared" si="2"/>
        <v>0.84999999999999432</v>
      </c>
      <c r="I21" s="12">
        <f t="shared" ref="I21:I84" si="4">H21*E21</f>
        <v>792.76949999999465</v>
      </c>
      <c r="J21" s="9">
        <v>15.4</v>
      </c>
      <c r="K21" s="9">
        <v>14.43</v>
      </c>
      <c r="L21" s="7">
        <f t="shared" ref="L21:L84" si="5">E21/J21</f>
        <v>60.562987012987008</v>
      </c>
      <c r="M21" s="7">
        <f t="shared" ref="M21:M84" si="6">E21/K21</f>
        <v>64.63409563409563</v>
      </c>
      <c r="N21" s="7">
        <f t="shared" ref="N21:N84" si="7">M21-L21</f>
        <v>4.0711086211086212</v>
      </c>
      <c r="O21" s="10">
        <f t="shared" si="3"/>
        <v>9466.9559875259874</v>
      </c>
    </row>
    <row r="22" spans="2:23" x14ac:dyDescent="0.25">
      <c r="B22" s="1">
        <v>1000590</v>
      </c>
      <c r="C22" s="12">
        <v>114</v>
      </c>
      <c r="D22" s="1" t="s">
        <v>10</v>
      </c>
      <c r="E22" s="1">
        <v>264.85000000000002</v>
      </c>
      <c r="F22" s="25">
        <v>150.15</v>
      </c>
      <c r="G22" s="25">
        <v>151</v>
      </c>
      <c r="H22" s="12">
        <f t="shared" si="2"/>
        <v>0.84999999999999432</v>
      </c>
      <c r="I22" s="12">
        <f t="shared" si="4"/>
        <v>225.12249999999852</v>
      </c>
      <c r="J22" s="9">
        <v>15.4</v>
      </c>
      <c r="K22" s="9">
        <v>14.43</v>
      </c>
      <c r="L22" s="7">
        <f t="shared" si="5"/>
        <v>17.198051948051948</v>
      </c>
      <c r="M22" s="7">
        <f t="shared" si="6"/>
        <v>18.354123354123356</v>
      </c>
      <c r="N22" s="7">
        <f t="shared" si="7"/>
        <v>1.1560714060714083</v>
      </c>
      <c r="O22" s="10">
        <f t="shared" si="3"/>
        <v>2688.3284476784529</v>
      </c>
    </row>
    <row r="23" spans="2:23" x14ac:dyDescent="0.25">
      <c r="B23" s="1">
        <v>1000590</v>
      </c>
      <c r="C23" s="12">
        <v>114</v>
      </c>
      <c r="D23" s="1" t="s">
        <v>10</v>
      </c>
      <c r="E23" s="1">
        <v>500</v>
      </c>
      <c r="F23" s="25">
        <v>150.15</v>
      </c>
      <c r="G23" s="25">
        <v>151</v>
      </c>
      <c r="H23" s="12">
        <f t="shared" si="2"/>
        <v>0.84999999999999432</v>
      </c>
      <c r="I23" s="12">
        <f t="shared" si="4"/>
        <v>424.99999999999716</v>
      </c>
      <c r="J23" s="9">
        <v>15.4</v>
      </c>
      <c r="K23" s="9">
        <v>14.43</v>
      </c>
      <c r="L23" s="7">
        <f t="shared" si="5"/>
        <v>32.467532467532465</v>
      </c>
      <c r="M23" s="7">
        <f t="shared" si="6"/>
        <v>34.650034650034648</v>
      </c>
      <c r="N23" s="7">
        <f t="shared" si="7"/>
        <v>2.1825021825021835</v>
      </c>
      <c r="O23" s="10">
        <f t="shared" si="3"/>
        <v>5075.1905751905779</v>
      </c>
    </row>
    <row r="24" spans="2:23" x14ac:dyDescent="0.25">
      <c r="B24" s="1">
        <v>1000590</v>
      </c>
      <c r="C24" s="12">
        <v>114</v>
      </c>
      <c r="D24" s="1" t="s">
        <v>10</v>
      </c>
      <c r="E24" s="1">
        <v>395.15</v>
      </c>
      <c r="F24" s="25">
        <v>150.15</v>
      </c>
      <c r="G24" s="25">
        <v>151</v>
      </c>
      <c r="H24" s="12">
        <f t="shared" si="2"/>
        <v>0.84999999999999432</v>
      </c>
      <c r="I24" s="12">
        <f t="shared" si="4"/>
        <v>335.87749999999772</v>
      </c>
      <c r="J24" s="9">
        <v>15.4</v>
      </c>
      <c r="K24" s="9">
        <v>14.43</v>
      </c>
      <c r="L24" s="7">
        <f t="shared" si="5"/>
        <v>25.659090909090907</v>
      </c>
      <c r="M24" s="7">
        <f t="shared" si="6"/>
        <v>27.383922383922382</v>
      </c>
      <c r="N24" s="7">
        <f t="shared" si="7"/>
        <v>1.7248314748314755</v>
      </c>
      <c r="O24" s="10">
        <f t="shared" si="3"/>
        <v>4010.9231115731136</v>
      </c>
    </row>
    <row r="25" spans="2:23" x14ac:dyDescent="0.25">
      <c r="B25" s="1">
        <v>1000618</v>
      </c>
      <c r="C25" s="12">
        <v>114</v>
      </c>
      <c r="D25" s="1" t="s">
        <v>8</v>
      </c>
      <c r="E25" s="3">
        <v>1320.37</v>
      </c>
      <c r="F25" s="25">
        <v>150.15</v>
      </c>
      <c r="G25" s="25">
        <v>151</v>
      </c>
      <c r="H25" s="12">
        <f t="shared" si="2"/>
        <v>0.84999999999999432</v>
      </c>
      <c r="I25" s="12">
        <f t="shared" si="4"/>
        <v>1122.3144999999924</v>
      </c>
      <c r="J25" s="9">
        <v>15.4</v>
      </c>
      <c r="K25" s="9">
        <v>14.43</v>
      </c>
      <c r="L25" s="7">
        <f t="shared" si="5"/>
        <v>85.738311688311683</v>
      </c>
      <c r="M25" s="7">
        <f t="shared" si="6"/>
        <v>91.501732501732491</v>
      </c>
      <c r="N25" s="7">
        <f t="shared" si="7"/>
        <v>5.763420813420808</v>
      </c>
      <c r="O25" s="10">
        <f t="shared" si="3"/>
        <v>13402.258759528746</v>
      </c>
    </row>
    <row r="26" spans="2:23" x14ac:dyDescent="0.25">
      <c r="B26" s="1">
        <v>1000694</v>
      </c>
      <c r="C26" s="12">
        <v>114</v>
      </c>
      <c r="D26" s="1" t="s">
        <v>9</v>
      </c>
      <c r="E26" s="1">
        <v>486.83</v>
      </c>
      <c r="F26" s="25">
        <v>150.15</v>
      </c>
      <c r="G26" s="25">
        <v>151</v>
      </c>
      <c r="H26" s="12">
        <f t="shared" si="2"/>
        <v>0.84999999999999432</v>
      </c>
      <c r="I26" s="12">
        <f t="shared" si="4"/>
        <v>413.80549999999721</v>
      </c>
      <c r="J26" s="9">
        <v>20.8</v>
      </c>
      <c r="K26" s="9">
        <v>19.559999999999999</v>
      </c>
      <c r="L26" s="7">
        <f t="shared" si="5"/>
        <v>23.405288461538461</v>
      </c>
      <c r="M26" s="7">
        <f t="shared" si="6"/>
        <v>24.889059304703476</v>
      </c>
      <c r="N26" s="7">
        <f t="shared" si="7"/>
        <v>1.483770843165015</v>
      </c>
      <c r="O26" s="10">
        <f t="shared" si="3"/>
        <v>4660.2274642126795</v>
      </c>
    </row>
    <row r="27" spans="2:23" x14ac:dyDescent="0.25">
      <c r="B27" s="1">
        <v>1000818</v>
      </c>
      <c r="C27" s="12">
        <v>114</v>
      </c>
      <c r="D27" s="1" t="s">
        <v>6</v>
      </c>
      <c r="E27" s="3">
        <v>2789.26</v>
      </c>
      <c r="F27" s="25">
        <v>150.15</v>
      </c>
      <c r="G27" s="25">
        <v>151</v>
      </c>
      <c r="H27" s="12">
        <f t="shared" si="2"/>
        <v>0.84999999999999432</v>
      </c>
      <c r="I27" s="12">
        <f t="shared" si="4"/>
        <v>2370.8709999999842</v>
      </c>
      <c r="J27" s="3">
        <v>20.11</v>
      </c>
      <c r="K27" s="7">
        <v>19.600000000000001</v>
      </c>
      <c r="L27" s="7">
        <f t="shared" si="5"/>
        <v>138.70014917951269</v>
      </c>
      <c r="M27" s="7">
        <f t="shared" si="6"/>
        <v>142.30918367346939</v>
      </c>
      <c r="N27" s="7">
        <f t="shared" si="7"/>
        <v>3.609034493956699</v>
      </c>
      <c r="O27" s="10">
        <f t="shared" si="3"/>
        <v>10959.23023469385</v>
      </c>
    </row>
    <row r="28" spans="2:23" x14ac:dyDescent="0.25">
      <c r="B28" s="1">
        <v>1000818</v>
      </c>
      <c r="C28" s="12">
        <v>114</v>
      </c>
      <c r="D28" s="1" t="s">
        <v>6</v>
      </c>
      <c r="E28" s="1">
        <v>664.19</v>
      </c>
      <c r="F28" s="25">
        <v>150.15</v>
      </c>
      <c r="G28" s="25">
        <v>151</v>
      </c>
      <c r="H28" s="12">
        <f t="shared" si="2"/>
        <v>0.84999999999999432</v>
      </c>
      <c r="I28" s="12">
        <f t="shared" si="4"/>
        <v>564.56149999999627</v>
      </c>
      <c r="J28" s="3">
        <v>20.11</v>
      </c>
      <c r="K28" s="7">
        <v>19.600000000000001</v>
      </c>
      <c r="L28" s="7">
        <f t="shared" si="5"/>
        <v>33.027846842366984</v>
      </c>
      <c r="M28" s="7">
        <f t="shared" si="6"/>
        <v>33.887244897959185</v>
      </c>
      <c r="N28" s="7">
        <f t="shared" si="7"/>
        <v>0.85939805559220162</v>
      </c>
      <c r="O28" s="10">
        <f t="shared" si="3"/>
        <v>2609.6567295918353</v>
      </c>
    </row>
    <row r="29" spans="2:23" x14ac:dyDescent="0.25">
      <c r="B29" s="1">
        <v>1000819</v>
      </c>
      <c r="C29" s="12">
        <v>114</v>
      </c>
      <c r="D29" s="1" t="s">
        <v>13</v>
      </c>
      <c r="E29" s="1">
        <v>178.41</v>
      </c>
      <c r="F29" s="25">
        <v>150.15</v>
      </c>
      <c r="G29" s="25">
        <v>151</v>
      </c>
      <c r="H29" s="12">
        <f t="shared" si="2"/>
        <v>0.84999999999999432</v>
      </c>
      <c r="I29" s="12">
        <f t="shared" si="4"/>
        <v>151.64849999999899</v>
      </c>
      <c r="J29" s="3">
        <v>20.11</v>
      </c>
      <c r="K29" s="7">
        <v>19.600000000000001</v>
      </c>
      <c r="L29" s="7">
        <f t="shared" si="5"/>
        <v>8.8717056190949783</v>
      </c>
      <c r="M29" s="7">
        <f t="shared" si="6"/>
        <v>9.1025510204081623</v>
      </c>
      <c r="N29" s="7">
        <f t="shared" si="7"/>
        <v>0.23084540131318398</v>
      </c>
      <c r="O29" s="10">
        <f t="shared" si="3"/>
        <v>700.98745408162767</v>
      </c>
    </row>
    <row r="30" spans="2:23" x14ac:dyDescent="0.25">
      <c r="B30" s="1">
        <v>1000819</v>
      </c>
      <c r="C30" s="12">
        <v>114</v>
      </c>
      <c r="D30" s="1" t="s">
        <v>13</v>
      </c>
      <c r="E30" s="3">
        <v>2122.7199999999998</v>
      </c>
      <c r="F30" s="25">
        <v>150.15</v>
      </c>
      <c r="G30" s="25">
        <v>151</v>
      </c>
      <c r="H30" s="12">
        <f t="shared" si="2"/>
        <v>0.84999999999999432</v>
      </c>
      <c r="I30" s="12">
        <f t="shared" si="4"/>
        <v>1804.3119999999878</v>
      </c>
      <c r="J30" s="3">
        <v>20.11</v>
      </c>
      <c r="K30" s="7">
        <v>19.600000000000001</v>
      </c>
      <c r="L30" s="7">
        <f t="shared" si="5"/>
        <v>105.55544505221282</v>
      </c>
      <c r="M30" s="7">
        <f t="shared" si="6"/>
        <v>108.30204081632651</v>
      </c>
      <c r="N30" s="7">
        <f t="shared" si="7"/>
        <v>2.7465957641136924</v>
      </c>
      <c r="O30" s="10">
        <f t="shared" si="3"/>
        <v>8340.3401632652804</v>
      </c>
    </row>
    <row r="31" spans="2:23" x14ac:dyDescent="0.25">
      <c r="B31" s="1">
        <v>1000821</v>
      </c>
      <c r="C31" s="12">
        <v>114</v>
      </c>
      <c r="D31" s="1" t="s">
        <v>15</v>
      </c>
      <c r="E31" s="1">
        <v>659.33</v>
      </c>
      <c r="F31" s="25">
        <v>150.15</v>
      </c>
      <c r="G31" s="25">
        <v>151</v>
      </c>
      <c r="H31" s="12">
        <f t="shared" si="2"/>
        <v>0.84999999999999432</v>
      </c>
      <c r="I31" s="12">
        <f t="shared" si="4"/>
        <v>560.4304999999963</v>
      </c>
      <c r="J31" s="3">
        <v>20.11</v>
      </c>
      <c r="K31" s="7">
        <v>19.600000000000001</v>
      </c>
      <c r="L31" s="7">
        <f t="shared" si="5"/>
        <v>32.786176031824965</v>
      </c>
      <c r="M31" s="7">
        <f t="shared" si="6"/>
        <v>33.639285714285712</v>
      </c>
      <c r="N31" s="7">
        <f t="shared" si="7"/>
        <v>0.85310968246074736</v>
      </c>
      <c r="O31" s="10">
        <f t="shared" si="3"/>
        <v>2590.5613928571302</v>
      </c>
    </row>
    <row r="32" spans="2:23" x14ac:dyDescent="0.25">
      <c r="B32" s="1">
        <v>1000821</v>
      </c>
      <c r="C32" s="12">
        <v>114</v>
      </c>
      <c r="D32" s="1" t="s">
        <v>15</v>
      </c>
      <c r="E32" s="2">
        <v>1419</v>
      </c>
      <c r="F32" s="25">
        <v>150.15</v>
      </c>
      <c r="G32" s="25">
        <v>151</v>
      </c>
      <c r="H32" s="12">
        <f t="shared" si="2"/>
        <v>0.84999999999999432</v>
      </c>
      <c r="I32" s="12">
        <f t="shared" si="4"/>
        <v>1206.1499999999919</v>
      </c>
      <c r="J32" s="3">
        <v>20.11</v>
      </c>
      <c r="K32" s="7">
        <v>19.600000000000001</v>
      </c>
      <c r="L32" s="7">
        <f t="shared" si="5"/>
        <v>70.561909497762315</v>
      </c>
      <c r="M32" s="7">
        <f t="shared" si="6"/>
        <v>72.397959183673464</v>
      </c>
      <c r="N32" s="7">
        <f t="shared" si="7"/>
        <v>1.8360496859111493</v>
      </c>
      <c r="O32" s="10">
        <f t="shared" si="3"/>
        <v>5575.3668367346545</v>
      </c>
    </row>
    <row r="33" spans="2:15" x14ac:dyDescent="0.25">
      <c r="B33" s="1">
        <v>1000821</v>
      </c>
      <c r="C33" s="12">
        <v>114</v>
      </c>
      <c r="D33" s="1" t="s">
        <v>15</v>
      </c>
      <c r="E33" s="1">
        <v>148.11000000000001</v>
      </c>
      <c r="F33" s="25">
        <v>150.15</v>
      </c>
      <c r="G33" s="25">
        <v>151</v>
      </c>
      <c r="H33" s="12">
        <f t="shared" si="2"/>
        <v>0.84999999999999432</v>
      </c>
      <c r="I33" s="12">
        <f t="shared" si="4"/>
        <v>125.89349999999916</v>
      </c>
      <c r="J33" s="3">
        <v>20.11</v>
      </c>
      <c r="K33" s="7">
        <v>19.600000000000001</v>
      </c>
      <c r="L33" s="7">
        <f t="shared" si="5"/>
        <v>7.3649925410243666</v>
      </c>
      <c r="M33" s="7">
        <f t="shared" si="6"/>
        <v>7.5566326530612242</v>
      </c>
      <c r="N33" s="7">
        <f t="shared" si="7"/>
        <v>0.1916401120368576</v>
      </c>
      <c r="O33" s="10">
        <f t="shared" si="3"/>
        <v>581.93628061224217</v>
      </c>
    </row>
    <row r="34" spans="2:15" x14ac:dyDescent="0.25">
      <c r="B34" s="1">
        <v>1000824</v>
      </c>
      <c r="C34" s="12">
        <v>114</v>
      </c>
      <c r="D34" s="1" t="s">
        <v>7</v>
      </c>
      <c r="E34" s="3">
        <v>1438.41</v>
      </c>
      <c r="F34" s="25">
        <v>150.15</v>
      </c>
      <c r="G34" s="25">
        <v>151</v>
      </c>
      <c r="H34" s="12">
        <f t="shared" si="2"/>
        <v>0.84999999999999432</v>
      </c>
      <c r="I34" s="12">
        <f t="shared" si="4"/>
        <v>1222.6484999999918</v>
      </c>
      <c r="J34" s="9">
        <v>15.5</v>
      </c>
      <c r="K34" s="9">
        <v>15.09</v>
      </c>
      <c r="L34" s="7">
        <f t="shared" si="5"/>
        <v>92.800645161290333</v>
      </c>
      <c r="M34" s="7">
        <f t="shared" si="6"/>
        <v>95.322067594433406</v>
      </c>
      <c r="N34" s="7">
        <f t="shared" si="7"/>
        <v>2.5214224331430728</v>
      </c>
      <c r="O34" s="10">
        <f t="shared" si="3"/>
        <v>5901.3892047713616</v>
      </c>
    </row>
    <row r="35" spans="2:15" x14ac:dyDescent="0.25">
      <c r="B35" s="1">
        <v>1000824</v>
      </c>
      <c r="C35" s="12">
        <v>114</v>
      </c>
      <c r="D35" s="1" t="s">
        <v>7</v>
      </c>
      <c r="E35" s="3">
        <v>1698.89</v>
      </c>
      <c r="F35" s="25">
        <v>150.15</v>
      </c>
      <c r="G35" s="25">
        <v>151</v>
      </c>
      <c r="H35" s="12">
        <f t="shared" si="2"/>
        <v>0.84999999999999432</v>
      </c>
      <c r="I35" s="12">
        <f t="shared" si="4"/>
        <v>1444.0564999999904</v>
      </c>
      <c r="J35" s="9">
        <v>15.5</v>
      </c>
      <c r="K35" s="9">
        <v>15.09</v>
      </c>
      <c r="L35" s="7">
        <f t="shared" si="5"/>
        <v>109.60580645161291</v>
      </c>
      <c r="M35" s="7">
        <f t="shared" si="6"/>
        <v>112.58383035122598</v>
      </c>
      <c r="N35" s="7">
        <f t="shared" si="7"/>
        <v>2.9780238996130777</v>
      </c>
      <c r="O35" s="10">
        <f t="shared" si="3"/>
        <v>6970.064937044408</v>
      </c>
    </row>
    <row r="36" spans="2:15" x14ac:dyDescent="0.25">
      <c r="B36" s="1">
        <v>1000825</v>
      </c>
      <c r="C36" s="12">
        <v>114</v>
      </c>
      <c r="D36" s="1" t="s">
        <v>18</v>
      </c>
      <c r="E36" s="1">
        <v>373.3</v>
      </c>
      <c r="F36" s="25">
        <v>150.15</v>
      </c>
      <c r="G36" s="25">
        <v>151</v>
      </c>
      <c r="H36" s="12">
        <f t="shared" si="2"/>
        <v>0.84999999999999432</v>
      </c>
      <c r="I36" s="12">
        <f t="shared" si="4"/>
        <v>317.3049999999979</v>
      </c>
      <c r="J36" s="9">
        <v>15.5</v>
      </c>
      <c r="K36" s="9">
        <v>15.09</v>
      </c>
      <c r="L36" s="7">
        <f t="shared" si="5"/>
        <v>24.083870967741937</v>
      </c>
      <c r="M36" s="7">
        <f t="shared" si="6"/>
        <v>24.738237243207422</v>
      </c>
      <c r="N36" s="7">
        <f t="shared" si="7"/>
        <v>0.65436627546548465</v>
      </c>
      <c r="O36" s="10">
        <f t="shared" si="3"/>
        <v>1531.5442677269668</v>
      </c>
    </row>
    <row r="37" spans="2:15" x14ac:dyDescent="0.25">
      <c r="B37" s="1">
        <v>1000827</v>
      </c>
      <c r="C37" s="12">
        <v>114</v>
      </c>
      <c r="D37" s="1" t="s">
        <v>14</v>
      </c>
      <c r="E37" s="1">
        <v>550</v>
      </c>
      <c r="F37" s="25">
        <v>150.15</v>
      </c>
      <c r="G37" s="25">
        <v>151</v>
      </c>
      <c r="H37" s="12">
        <f t="shared" si="2"/>
        <v>0.84999999999999432</v>
      </c>
      <c r="I37" s="12">
        <f t="shared" si="4"/>
        <v>467.49999999999687</v>
      </c>
      <c r="J37" s="9">
        <v>15.5</v>
      </c>
      <c r="K37" s="9">
        <v>15.09</v>
      </c>
      <c r="L37" s="7">
        <f t="shared" si="5"/>
        <v>35.483870967741936</v>
      </c>
      <c r="M37" s="7">
        <f t="shared" si="6"/>
        <v>36.447978793903246</v>
      </c>
      <c r="N37" s="7">
        <f t="shared" si="7"/>
        <v>0.9641078261613103</v>
      </c>
      <c r="O37" s="10">
        <f t="shared" si="3"/>
        <v>2256.4943671305468</v>
      </c>
    </row>
    <row r="38" spans="2:15" x14ac:dyDescent="0.25">
      <c r="B38" s="1">
        <v>1000827</v>
      </c>
      <c r="C38" s="12">
        <v>114</v>
      </c>
      <c r="D38" s="1" t="s">
        <v>14</v>
      </c>
      <c r="E38" s="1">
        <v>550</v>
      </c>
      <c r="F38" s="25">
        <v>150.15</v>
      </c>
      <c r="G38" s="25">
        <v>151</v>
      </c>
      <c r="H38" s="12">
        <f t="shared" si="2"/>
        <v>0.84999999999999432</v>
      </c>
      <c r="I38" s="12">
        <f t="shared" si="4"/>
        <v>467.49999999999687</v>
      </c>
      <c r="J38" s="9">
        <v>15.5</v>
      </c>
      <c r="K38" s="9">
        <v>15.09</v>
      </c>
      <c r="L38" s="7">
        <f t="shared" si="5"/>
        <v>35.483870967741936</v>
      </c>
      <c r="M38" s="7">
        <f t="shared" si="6"/>
        <v>36.447978793903246</v>
      </c>
      <c r="N38" s="7">
        <f t="shared" si="7"/>
        <v>0.9641078261613103</v>
      </c>
      <c r="O38" s="10">
        <f t="shared" si="3"/>
        <v>2256.4943671305468</v>
      </c>
    </row>
    <row r="39" spans="2:15" x14ac:dyDescent="0.25">
      <c r="B39" s="1">
        <v>1000827</v>
      </c>
      <c r="C39" s="12">
        <v>114</v>
      </c>
      <c r="D39" s="1" t="s">
        <v>14</v>
      </c>
      <c r="E39" s="1">
        <v>516.28</v>
      </c>
      <c r="F39" s="25">
        <v>150.15</v>
      </c>
      <c r="G39" s="25">
        <v>151</v>
      </c>
      <c r="H39" s="12">
        <f t="shared" si="2"/>
        <v>0.84999999999999432</v>
      </c>
      <c r="I39" s="12">
        <f t="shared" si="4"/>
        <v>438.83799999999707</v>
      </c>
      <c r="J39" s="9">
        <v>15.5</v>
      </c>
      <c r="K39" s="9">
        <v>15.09</v>
      </c>
      <c r="L39" s="7">
        <f t="shared" si="5"/>
        <v>33.30838709677419</v>
      </c>
      <c r="M39" s="7">
        <f t="shared" si="6"/>
        <v>34.213386348575213</v>
      </c>
      <c r="N39" s="7">
        <f t="shared" si="7"/>
        <v>0.90499925180102281</v>
      </c>
      <c r="O39" s="10">
        <f t="shared" si="3"/>
        <v>2118.150748840294</v>
      </c>
    </row>
    <row r="40" spans="2:15" x14ac:dyDescent="0.25">
      <c r="B40" s="1">
        <v>1001380</v>
      </c>
      <c r="C40" s="12">
        <v>114</v>
      </c>
      <c r="D40" s="1" t="s">
        <v>43</v>
      </c>
      <c r="E40" s="1">
        <v>85.51</v>
      </c>
      <c r="F40" s="25">
        <v>150.15</v>
      </c>
      <c r="G40" s="25">
        <v>151</v>
      </c>
      <c r="H40" s="12">
        <f t="shared" si="2"/>
        <v>0.84999999999999432</v>
      </c>
      <c r="I40" s="12">
        <f t="shared" si="4"/>
        <v>72.683499999999512</v>
      </c>
      <c r="J40" s="3">
        <v>20.11</v>
      </c>
      <c r="K40" s="7">
        <v>19.600000000000001</v>
      </c>
      <c r="L40" s="7">
        <f t="shared" si="5"/>
        <v>4.2521133764296373</v>
      </c>
      <c r="M40" s="7">
        <f t="shared" si="6"/>
        <v>4.3627551020408166</v>
      </c>
      <c r="N40" s="7">
        <f t="shared" si="7"/>
        <v>0.11064172561117935</v>
      </c>
      <c r="O40" s="10">
        <f t="shared" si="3"/>
        <v>335.97577040816333</v>
      </c>
    </row>
    <row r="41" spans="2:15" x14ac:dyDescent="0.25">
      <c r="B41" s="1">
        <v>1001380</v>
      </c>
      <c r="C41" s="12">
        <v>114</v>
      </c>
      <c r="D41" s="1" t="s">
        <v>43</v>
      </c>
      <c r="E41" s="1">
        <v>612</v>
      </c>
      <c r="F41" s="25">
        <v>150.15</v>
      </c>
      <c r="G41" s="25">
        <v>151</v>
      </c>
      <c r="H41" s="12">
        <f t="shared" si="2"/>
        <v>0.84999999999999432</v>
      </c>
      <c r="I41" s="12">
        <f t="shared" si="4"/>
        <v>520.19999999999652</v>
      </c>
      <c r="J41" s="3">
        <v>20.11</v>
      </c>
      <c r="K41" s="7">
        <v>19.600000000000001</v>
      </c>
      <c r="L41" s="7">
        <f t="shared" si="5"/>
        <v>30.43262058677275</v>
      </c>
      <c r="M41" s="7">
        <f t="shared" si="6"/>
        <v>31.224489795918366</v>
      </c>
      <c r="N41" s="7">
        <f t="shared" si="7"/>
        <v>0.79186920914561654</v>
      </c>
      <c r="O41" s="10">
        <f t="shared" si="3"/>
        <v>2404.5979591836704</v>
      </c>
    </row>
    <row r="42" spans="2:15" x14ac:dyDescent="0.25">
      <c r="B42" s="1">
        <v>1001380</v>
      </c>
      <c r="C42" s="12">
        <v>114</v>
      </c>
      <c r="D42" s="1" t="s">
        <v>43</v>
      </c>
      <c r="E42" s="1">
        <v>627.29</v>
      </c>
      <c r="F42" s="25">
        <v>150.15</v>
      </c>
      <c r="G42" s="25">
        <v>151</v>
      </c>
      <c r="H42" s="12">
        <f t="shared" si="2"/>
        <v>0.84999999999999432</v>
      </c>
      <c r="I42" s="12">
        <f t="shared" si="4"/>
        <v>533.19649999999638</v>
      </c>
      <c r="J42" s="3">
        <v>20.11</v>
      </c>
      <c r="K42" s="7">
        <v>19.600000000000001</v>
      </c>
      <c r="L42" s="7">
        <f t="shared" si="5"/>
        <v>31.192938836399801</v>
      </c>
      <c r="M42" s="7">
        <f t="shared" si="6"/>
        <v>32.00459183673469</v>
      </c>
      <c r="N42" s="7">
        <f t="shared" si="7"/>
        <v>0.81165300033488919</v>
      </c>
      <c r="O42" s="10">
        <f t="shared" si="3"/>
        <v>2464.673617346928</v>
      </c>
    </row>
    <row r="43" spans="2:15" x14ac:dyDescent="0.25">
      <c r="B43" s="1">
        <v>1001750</v>
      </c>
      <c r="C43" s="12">
        <v>114</v>
      </c>
      <c r="D43" s="1" t="s">
        <v>121</v>
      </c>
      <c r="E43" s="1">
        <v>61.32</v>
      </c>
      <c r="F43" s="25">
        <v>150.15</v>
      </c>
      <c r="G43" s="25">
        <v>151</v>
      </c>
      <c r="H43" s="12">
        <f t="shared" si="2"/>
        <v>0.84999999999999432</v>
      </c>
      <c r="I43" s="12">
        <f t="shared" si="4"/>
        <v>52.121999999999652</v>
      </c>
      <c r="J43" s="9">
        <v>26</v>
      </c>
      <c r="K43" s="9">
        <v>24.67</v>
      </c>
      <c r="L43" s="7">
        <f t="shared" si="5"/>
        <v>2.3584615384615386</v>
      </c>
      <c r="M43" s="7">
        <f t="shared" si="6"/>
        <v>2.4856100526955816</v>
      </c>
      <c r="N43" s="7">
        <f t="shared" si="7"/>
        <v>0.12714851423404294</v>
      </c>
      <c r="O43" s="10">
        <f t="shared" si="3"/>
        <v>499.1850668828526</v>
      </c>
    </row>
    <row r="44" spans="2:15" x14ac:dyDescent="0.25">
      <c r="B44" s="1">
        <v>1001750</v>
      </c>
      <c r="C44" s="12">
        <v>114</v>
      </c>
      <c r="D44" s="1" t="s">
        <v>121</v>
      </c>
      <c r="E44" s="1">
        <v>500</v>
      </c>
      <c r="F44" s="25">
        <v>150.15</v>
      </c>
      <c r="G44" s="25">
        <v>151</v>
      </c>
      <c r="H44" s="12">
        <f t="shared" si="2"/>
        <v>0.84999999999999432</v>
      </c>
      <c r="I44" s="12">
        <f t="shared" si="4"/>
        <v>424.99999999999716</v>
      </c>
      <c r="J44" s="9">
        <v>26</v>
      </c>
      <c r="K44" s="9">
        <v>24.67</v>
      </c>
      <c r="L44" s="7">
        <f t="shared" si="5"/>
        <v>19.23076923076923</v>
      </c>
      <c r="M44" s="7">
        <f t="shared" si="6"/>
        <v>20.267531414673691</v>
      </c>
      <c r="N44" s="7">
        <f t="shared" si="7"/>
        <v>1.036762183904461</v>
      </c>
      <c r="O44" s="10">
        <f t="shared" si="3"/>
        <v>4070.3283340089138</v>
      </c>
    </row>
    <row r="45" spans="2:15" x14ac:dyDescent="0.25">
      <c r="B45" s="1">
        <v>1001750</v>
      </c>
      <c r="C45" s="12">
        <v>114</v>
      </c>
      <c r="D45" s="1" t="s">
        <v>121</v>
      </c>
      <c r="E45" s="1">
        <v>61.32</v>
      </c>
      <c r="F45" s="25">
        <v>150.15</v>
      </c>
      <c r="G45" s="25">
        <v>151</v>
      </c>
      <c r="H45" s="12">
        <f t="shared" si="2"/>
        <v>0.84999999999999432</v>
      </c>
      <c r="I45" s="12">
        <f t="shared" si="4"/>
        <v>52.121999999999652</v>
      </c>
      <c r="J45" s="9">
        <v>26</v>
      </c>
      <c r="K45" s="9">
        <v>24.67</v>
      </c>
      <c r="L45" s="7">
        <f t="shared" si="5"/>
        <v>2.3584615384615386</v>
      </c>
      <c r="M45" s="7">
        <f t="shared" si="6"/>
        <v>2.4856100526955816</v>
      </c>
      <c r="N45" s="7">
        <f t="shared" si="7"/>
        <v>0.12714851423404294</v>
      </c>
      <c r="O45" s="10">
        <f t="shared" si="3"/>
        <v>499.1850668828526</v>
      </c>
    </row>
    <row r="46" spans="2:15" x14ac:dyDescent="0.25">
      <c r="B46" s="1">
        <v>1001750</v>
      </c>
      <c r="C46" s="12">
        <v>114</v>
      </c>
      <c r="D46" s="1" t="s">
        <v>121</v>
      </c>
      <c r="E46" s="1">
        <v>500</v>
      </c>
      <c r="F46" s="25">
        <v>150.15</v>
      </c>
      <c r="G46" s="25">
        <v>151</v>
      </c>
      <c r="H46" s="12">
        <f t="shared" si="2"/>
        <v>0.84999999999999432</v>
      </c>
      <c r="I46" s="12">
        <f t="shared" si="4"/>
        <v>424.99999999999716</v>
      </c>
      <c r="J46" s="9">
        <v>26</v>
      </c>
      <c r="K46" s="9">
        <v>24.67</v>
      </c>
      <c r="L46" s="7">
        <f t="shared" si="5"/>
        <v>19.23076923076923</v>
      </c>
      <c r="M46" s="7">
        <f t="shared" si="6"/>
        <v>20.267531414673691</v>
      </c>
      <c r="N46" s="7">
        <f t="shared" si="7"/>
        <v>1.036762183904461</v>
      </c>
      <c r="O46" s="10">
        <f t="shared" si="3"/>
        <v>4070.3283340089138</v>
      </c>
    </row>
    <row r="47" spans="2:15" x14ac:dyDescent="0.25">
      <c r="B47" s="1">
        <v>1001851</v>
      </c>
      <c r="C47" s="12">
        <v>114</v>
      </c>
      <c r="D47" s="1" t="s">
        <v>78</v>
      </c>
      <c r="E47" s="1">
        <v>534.04999999999995</v>
      </c>
      <c r="F47" s="25">
        <v>150.15</v>
      </c>
      <c r="G47" s="25">
        <v>151</v>
      </c>
      <c r="H47" s="12">
        <f t="shared" si="2"/>
        <v>0.84999999999999432</v>
      </c>
      <c r="I47" s="12">
        <f t="shared" si="4"/>
        <v>453.94249999999693</v>
      </c>
      <c r="J47" s="9">
        <v>26</v>
      </c>
      <c r="K47" s="9">
        <v>24.67</v>
      </c>
      <c r="L47" s="7">
        <f t="shared" si="5"/>
        <v>20.540384615384614</v>
      </c>
      <c r="M47" s="7">
        <f t="shared" si="6"/>
        <v>21.647750304012966</v>
      </c>
      <c r="N47" s="7">
        <f t="shared" si="7"/>
        <v>1.1073656886283523</v>
      </c>
      <c r="O47" s="10">
        <f t="shared" si="3"/>
        <v>4347.5176935549107</v>
      </c>
    </row>
    <row r="48" spans="2:15" x14ac:dyDescent="0.25">
      <c r="B48" s="1">
        <v>1001852</v>
      </c>
      <c r="C48" s="12">
        <v>114</v>
      </c>
      <c r="D48" s="1" t="s">
        <v>12</v>
      </c>
      <c r="E48" s="1">
        <v>383.49</v>
      </c>
      <c r="F48" s="25">
        <v>150.15</v>
      </c>
      <c r="G48" s="25">
        <v>151</v>
      </c>
      <c r="H48" s="12">
        <f t="shared" si="2"/>
        <v>0.84999999999999432</v>
      </c>
      <c r="I48" s="12">
        <f t="shared" si="4"/>
        <v>325.96649999999784</v>
      </c>
      <c r="J48" s="17">
        <v>17.670000000000002</v>
      </c>
      <c r="K48" s="17">
        <v>17</v>
      </c>
      <c r="L48" s="7">
        <f t="shared" si="5"/>
        <v>21.702886247877757</v>
      </c>
      <c r="M48" s="7">
        <f t="shared" si="6"/>
        <v>22.558235294117647</v>
      </c>
      <c r="N48" s="7">
        <f t="shared" si="7"/>
        <v>0.8553490462398905</v>
      </c>
      <c r="O48" s="10">
        <f t="shared" si="3"/>
        <v>2282.2166647058889</v>
      </c>
    </row>
    <row r="49" spans="2:15" x14ac:dyDescent="0.25">
      <c r="B49" s="1">
        <v>1001852</v>
      </c>
      <c r="C49" s="12">
        <v>114</v>
      </c>
      <c r="D49" s="1" t="s">
        <v>12</v>
      </c>
      <c r="E49" s="1">
        <v>550</v>
      </c>
      <c r="F49" s="25">
        <v>150.15</v>
      </c>
      <c r="G49" s="25">
        <v>151</v>
      </c>
      <c r="H49" s="12">
        <f t="shared" si="2"/>
        <v>0.84999999999999432</v>
      </c>
      <c r="I49" s="12">
        <f t="shared" si="4"/>
        <v>467.49999999999687</v>
      </c>
      <c r="J49" s="17">
        <v>17.670000000000002</v>
      </c>
      <c r="K49" s="17">
        <v>17</v>
      </c>
      <c r="L49" s="7">
        <f t="shared" si="5"/>
        <v>31.126202603282398</v>
      </c>
      <c r="M49" s="7">
        <f t="shared" si="6"/>
        <v>32.352941176470587</v>
      </c>
      <c r="N49" s="7">
        <f t="shared" si="7"/>
        <v>1.2267385731881895</v>
      </c>
      <c r="O49" s="10">
        <f t="shared" si="3"/>
        <v>3273.147058823532</v>
      </c>
    </row>
    <row r="50" spans="2:15" x14ac:dyDescent="0.25">
      <c r="B50" s="1">
        <v>1001917</v>
      </c>
      <c r="C50" s="12">
        <v>114</v>
      </c>
      <c r="D50" s="1" t="s">
        <v>16</v>
      </c>
      <c r="E50" s="1">
        <v>54.22</v>
      </c>
      <c r="F50" s="25">
        <v>150.15</v>
      </c>
      <c r="G50" s="25">
        <v>151</v>
      </c>
      <c r="H50" s="12">
        <f t="shared" si="2"/>
        <v>0.84999999999999432</v>
      </c>
      <c r="I50" s="12">
        <f t="shared" si="4"/>
        <v>46.086999999999691</v>
      </c>
      <c r="J50" s="9">
        <v>15.4</v>
      </c>
      <c r="K50" s="9">
        <v>14.43</v>
      </c>
      <c r="L50" s="7">
        <f t="shared" si="5"/>
        <v>3.5207792207792208</v>
      </c>
      <c r="M50" s="7">
        <f t="shared" si="6"/>
        <v>3.7574497574497574</v>
      </c>
      <c r="N50" s="7">
        <f t="shared" si="7"/>
        <v>0.23667053667053661</v>
      </c>
      <c r="O50" s="10">
        <f t="shared" si="3"/>
        <v>550.3536659736659</v>
      </c>
    </row>
    <row r="51" spans="2:15" x14ac:dyDescent="0.25">
      <c r="B51" s="1">
        <v>1001917</v>
      </c>
      <c r="C51" s="12">
        <v>114</v>
      </c>
      <c r="D51" s="1" t="s">
        <v>16</v>
      </c>
      <c r="E51" s="1">
        <v>467</v>
      </c>
      <c r="F51" s="25">
        <v>150.15</v>
      </c>
      <c r="G51" s="25">
        <v>151</v>
      </c>
      <c r="H51" s="12">
        <f t="shared" si="2"/>
        <v>0.84999999999999432</v>
      </c>
      <c r="I51" s="12">
        <f t="shared" si="4"/>
        <v>396.94999999999732</v>
      </c>
      <c r="J51" s="9">
        <v>15.4</v>
      </c>
      <c r="K51" s="9">
        <v>14.43</v>
      </c>
      <c r="L51" s="7">
        <f t="shared" si="5"/>
        <v>30.324675324675322</v>
      </c>
      <c r="M51" s="7">
        <f t="shared" si="6"/>
        <v>32.363132363132365</v>
      </c>
      <c r="N51" s="7">
        <f t="shared" si="7"/>
        <v>2.0384570384570431</v>
      </c>
      <c r="O51" s="10">
        <f t="shared" si="3"/>
        <v>4740.2279972280085</v>
      </c>
    </row>
    <row r="52" spans="2:15" x14ac:dyDescent="0.25">
      <c r="B52" s="1">
        <v>1001921</v>
      </c>
      <c r="C52" s="12">
        <v>114</v>
      </c>
      <c r="D52" s="1" t="s">
        <v>11</v>
      </c>
      <c r="E52" s="1">
        <v>761.35</v>
      </c>
      <c r="F52" s="25">
        <v>150.15</v>
      </c>
      <c r="G52" s="25">
        <v>151</v>
      </c>
      <c r="H52" s="12">
        <f t="shared" si="2"/>
        <v>0.84999999999999432</v>
      </c>
      <c r="I52" s="12">
        <f t="shared" si="4"/>
        <v>647.14749999999572</v>
      </c>
      <c r="J52" s="9">
        <v>20.8</v>
      </c>
      <c r="K52" s="9">
        <v>19.559999999999999</v>
      </c>
      <c r="L52" s="7">
        <f t="shared" si="5"/>
        <v>36.603365384615387</v>
      </c>
      <c r="M52" s="7">
        <f t="shared" si="6"/>
        <v>38.923824130879346</v>
      </c>
      <c r="N52" s="7">
        <f t="shared" si="7"/>
        <v>2.3204587462639594</v>
      </c>
      <c r="O52" s="10">
        <f t="shared" si="3"/>
        <v>7288.0968302658448</v>
      </c>
    </row>
    <row r="53" spans="2:15" x14ac:dyDescent="0.25">
      <c r="B53" s="1">
        <v>1001921</v>
      </c>
      <c r="C53" s="12">
        <v>114</v>
      </c>
      <c r="D53" s="1" t="s">
        <v>11</v>
      </c>
      <c r="E53" s="1">
        <v>770</v>
      </c>
      <c r="F53" s="25">
        <v>150.15</v>
      </c>
      <c r="G53" s="25">
        <v>151</v>
      </c>
      <c r="H53" s="12">
        <f t="shared" si="2"/>
        <v>0.84999999999999432</v>
      </c>
      <c r="I53" s="12">
        <f t="shared" si="4"/>
        <v>654.49999999999568</v>
      </c>
      <c r="J53" s="9">
        <v>20.8</v>
      </c>
      <c r="K53" s="9">
        <v>19.559999999999999</v>
      </c>
      <c r="L53" s="7">
        <f t="shared" si="5"/>
        <v>37.019230769230766</v>
      </c>
      <c r="M53" s="7">
        <f t="shared" si="6"/>
        <v>39.366053169734151</v>
      </c>
      <c r="N53" s="7">
        <f t="shared" si="7"/>
        <v>2.3468224005033846</v>
      </c>
      <c r="O53" s="10">
        <f t="shared" si="3"/>
        <v>7370.8997955010309</v>
      </c>
    </row>
    <row r="54" spans="2:15" x14ac:dyDescent="0.25">
      <c r="B54" s="1">
        <v>1001922</v>
      </c>
      <c r="C54" s="12">
        <v>114</v>
      </c>
      <c r="D54" s="1" t="s">
        <v>5</v>
      </c>
      <c r="E54" s="1">
        <v>841.42</v>
      </c>
      <c r="F54" s="25">
        <v>150.15</v>
      </c>
      <c r="G54" s="25">
        <v>151</v>
      </c>
      <c r="H54" s="12">
        <f t="shared" si="2"/>
        <v>0.84999999999999432</v>
      </c>
      <c r="I54" s="12">
        <f t="shared" si="4"/>
        <v>715.20699999999522</v>
      </c>
      <c r="J54" s="9">
        <v>20.8</v>
      </c>
      <c r="K54" s="9">
        <v>19.559999999999999</v>
      </c>
      <c r="L54" s="7">
        <f t="shared" si="5"/>
        <v>40.452884615384612</v>
      </c>
      <c r="M54" s="7">
        <f t="shared" si="6"/>
        <v>43.017382413087937</v>
      </c>
      <c r="N54" s="7">
        <f t="shared" si="7"/>
        <v>2.564497797703325</v>
      </c>
      <c r="O54" s="10">
        <f t="shared" si="3"/>
        <v>8054.5746830266035</v>
      </c>
    </row>
    <row r="55" spans="2:15" x14ac:dyDescent="0.25">
      <c r="B55" s="1">
        <v>1001922</v>
      </c>
      <c r="C55" s="12">
        <v>114</v>
      </c>
      <c r="D55" s="1" t="s">
        <v>5</v>
      </c>
      <c r="E55" s="2">
        <v>1806</v>
      </c>
      <c r="F55" s="25">
        <v>150.15</v>
      </c>
      <c r="G55" s="25">
        <v>151</v>
      </c>
      <c r="H55" s="12">
        <f t="shared" si="2"/>
        <v>0.84999999999999432</v>
      </c>
      <c r="I55" s="12">
        <f t="shared" si="4"/>
        <v>1535.0999999999897</v>
      </c>
      <c r="J55" s="9">
        <v>20.8</v>
      </c>
      <c r="K55" s="9">
        <v>19.559999999999999</v>
      </c>
      <c r="L55" s="7">
        <f t="shared" si="5"/>
        <v>86.82692307692308</v>
      </c>
      <c r="M55" s="7">
        <f t="shared" si="6"/>
        <v>92.331288343558285</v>
      </c>
      <c r="N55" s="7">
        <f t="shared" si="7"/>
        <v>5.5043652666352045</v>
      </c>
      <c r="O55" s="10">
        <f t="shared" si="3"/>
        <v>17288.11042944785</v>
      </c>
    </row>
    <row r="56" spans="2:15" x14ac:dyDescent="0.25">
      <c r="B56" s="1">
        <v>1001945</v>
      </c>
      <c r="C56" s="12">
        <v>114</v>
      </c>
      <c r="D56" s="1" t="s">
        <v>116</v>
      </c>
      <c r="E56" s="1">
        <v>56.08</v>
      </c>
      <c r="F56" s="25">
        <v>150.15</v>
      </c>
      <c r="G56" s="25">
        <v>151</v>
      </c>
      <c r="H56" s="12">
        <f t="shared" si="2"/>
        <v>0.84999999999999432</v>
      </c>
      <c r="I56" s="12">
        <f t="shared" si="4"/>
        <v>47.66799999999968</v>
      </c>
      <c r="J56" s="9">
        <v>13.9</v>
      </c>
      <c r="K56" s="9">
        <v>13.57</v>
      </c>
      <c r="L56" s="7">
        <f t="shared" si="5"/>
        <v>4.0345323741007189</v>
      </c>
      <c r="M56" s="7">
        <f t="shared" si="6"/>
        <v>4.1326455416359611</v>
      </c>
      <c r="N56" s="7">
        <f t="shared" si="7"/>
        <v>9.8113167535242241E-2</v>
      </c>
      <c r="O56" s="10">
        <f t="shared" si="3"/>
        <v>205.92972733971996</v>
      </c>
    </row>
    <row r="57" spans="2:15" x14ac:dyDescent="0.25">
      <c r="B57" s="1">
        <v>1001945</v>
      </c>
      <c r="C57" s="12">
        <v>114</v>
      </c>
      <c r="D57" s="1" t="s">
        <v>116</v>
      </c>
      <c r="E57" s="1">
        <v>448.8</v>
      </c>
      <c r="F57" s="25">
        <v>150.15</v>
      </c>
      <c r="G57" s="25">
        <v>151</v>
      </c>
      <c r="H57" s="12">
        <f t="shared" si="2"/>
        <v>0.84999999999999432</v>
      </c>
      <c r="I57" s="12">
        <f t="shared" si="4"/>
        <v>381.47999999999746</v>
      </c>
      <c r="J57" s="9">
        <v>13.9</v>
      </c>
      <c r="K57" s="9">
        <v>13.57</v>
      </c>
      <c r="L57" s="7">
        <f t="shared" si="5"/>
        <v>32.28776978417266</v>
      </c>
      <c r="M57" s="7">
        <f t="shared" si="6"/>
        <v>33.072955047899782</v>
      </c>
      <c r="N57" s="7">
        <f t="shared" si="7"/>
        <v>0.78518526372712216</v>
      </c>
      <c r="O57" s="10">
        <f t="shared" si="3"/>
        <v>1648.0253500368567</v>
      </c>
    </row>
    <row r="58" spans="2:15" x14ac:dyDescent="0.25">
      <c r="B58" s="1">
        <v>1001946</v>
      </c>
      <c r="C58" s="12">
        <v>114</v>
      </c>
      <c r="D58" s="1" t="s">
        <v>115</v>
      </c>
      <c r="E58" s="1">
        <v>500</v>
      </c>
      <c r="F58" s="25">
        <v>150.15</v>
      </c>
      <c r="G58" s="25">
        <v>151</v>
      </c>
      <c r="H58" s="12">
        <f t="shared" si="2"/>
        <v>0.84999999999999432</v>
      </c>
      <c r="I58" s="12">
        <f t="shared" si="4"/>
        <v>424.99999999999716</v>
      </c>
      <c r="J58" s="9">
        <v>13.9</v>
      </c>
      <c r="K58" s="9">
        <v>13.57</v>
      </c>
      <c r="L58" s="7">
        <f t="shared" si="5"/>
        <v>35.97122302158273</v>
      </c>
      <c r="M58" s="7">
        <f t="shared" si="6"/>
        <v>36.845983787767132</v>
      </c>
      <c r="N58" s="7">
        <f t="shared" si="7"/>
        <v>0.87476076618440146</v>
      </c>
      <c r="O58" s="10">
        <f t="shared" si="3"/>
        <v>1836.0353721444403</v>
      </c>
    </row>
    <row r="59" spans="2:15" x14ac:dyDescent="0.25">
      <c r="B59" s="1">
        <v>1001946</v>
      </c>
      <c r="C59" s="12">
        <v>114</v>
      </c>
      <c r="D59" s="1" t="s">
        <v>115</v>
      </c>
      <c r="E59" s="1">
        <v>446.09</v>
      </c>
      <c r="F59" s="25">
        <v>150.15</v>
      </c>
      <c r="G59" s="25">
        <v>151</v>
      </c>
      <c r="H59" s="12">
        <f t="shared" si="2"/>
        <v>0.84999999999999432</v>
      </c>
      <c r="I59" s="12">
        <f t="shared" si="4"/>
        <v>379.17649999999742</v>
      </c>
      <c r="J59" s="9">
        <v>13.9</v>
      </c>
      <c r="K59" s="9">
        <v>13.57</v>
      </c>
      <c r="L59" s="7">
        <f t="shared" si="5"/>
        <v>32.09280575539568</v>
      </c>
      <c r="M59" s="7">
        <f t="shared" si="6"/>
        <v>32.87324981577008</v>
      </c>
      <c r="N59" s="7">
        <f t="shared" si="7"/>
        <v>0.78044406037439984</v>
      </c>
      <c r="O59" s="10">
        <f t="shared" si="3"/>
        <v>1638.0740383198279</v>
      </c>
    </row>
    <row r="60" spans="2:15" x14ac:dyDescent="0.25">
      <c r="B60" s="1">
        <v>1001946</v>
      </c>
      <c r="C60" s="12">
        <v>114</v>
      </c>
      <c r="D60" s="1" t="s">
        <v>115</v>
      </c>
      <c r="E60" s="1">
        <v>246.87</v>
      </c>
      <c r="F60" s="25">
        <v>150.15</v>
      </c>
      <c r="G60" s="25">
        <v>151</v>
      </c>
      <c r="H60" s="12">
        <f t="shared" si="2"/>
        <v>0.84999999999999432</v>
      </c>
      <c r="I60" s="12">
        <f t="shared" si="4"/>
        <v>209.83949999999859</v>
      </c>
      <c r="J60" s="9">
        <v>13.9</v>
      </c>
      <c r="K60" s="9">
        <v>13.57</v>
      </c>
      <c r="L60" s="7">
        <f t="shared" si="5"/>
        <v>17.76043165467626</v>
      </c>
      <c r="M60" s="7">
        <f t="shared" si="6"/>
        <v>18.192336035372143</v>
      </c>
      <c r="N60" s="7">
        <f t="shared" si="7"/>
        <v>0.43190438069588311</v>
      </c>
      <c r="O60" s="10">
        <f t="shared" si="3"/>
        <v>906.52410464258912</v>
      </c>
    </row>
    <row r="61" spans="2:15" x14ac:dyDescent="0.25">
      <c r="B61" s="1">
        <v>1001946</v>
      </c>
      <c r="C61" s="12">
        <v>114</v>
      </c>
      <c r="D61" s="1" t="s">
        <v>115</v>
      </c>
      <c r="E61" s="1">
        <v>500</v>
      </c>
      <c r="F61" s="25">
        <v>150.15</v>
      </c>
      <c r="G61" s="25">
        <v>151</v>
      </c>
      <c r="H61" s="12">
        <f t="shared" si="2"/>
        <v>0.84999999999999432</v>
      </c>
      <c r="I61" s="12">
        <f t="shared" si="4"/>
        <v>424.99999999999716</v>
      </c>
      <c r="J61" s="9">
        <v>13.9</v>
      </c>
      <c r="K61" s="9">
        <v>13.57</v>
      </c>
      <c r="L61" s="7">
        <f t="shared" si="5"/>
        <v>35.97122302158273</v>
      </c>
      <c r="M61" s="7">
        <f t="shared" si="6"/>
        <v>36.845983787767132</v>
      </c>
      <c r="N61" s="7">
        <f t="shared" si="7"/>
        <v>0.87476076618440146</v>
      </c>
      <c r="O61" s="10">
        <f t="shared" si="3"/>
        <v>1836.0353721444403</v>
      </c>
    </row>
    <row r="62" spans="2:15" x14ac:dyDescent="0.25">
      <c r="B62" s="1">
        <v>1001946</v>
      </c>
      <c r="C62" s="12">
        <v>114</v>
      </c>
      <c r="D62" s="1" t="s">
        <v>115</v>
      </c>
      <c r="E62" s="1">
        <v>446.09</v>
      </c>
      <c r="F62" s="25">
        <v>150.15</v>
      </c>
      <c r="G62" s="25">
        <v>151</v>
      </c>
      <c r="H62" s="12">
        <f t="shared" si="2"/>
        <v>0.84999999999999432</v>
      </c>
      <c r="I62" s="12">
        <f t="shared" si="4"/>
        <v>379.17649999999742</v>
      </c>
      <c r="J62" s="9">
        <v>13.9</v>
      </c>
      <c r="K62" s="9">
        <v>13.57</v>
      </c>
      <c r="L62" s="7">
        <f t="shared" si="5"/>
        <v>32.09280575539568</v>
      </c>
      <c r="M62" s="7">
        <f t="shared" si="6"/>
        <v>32.87324981577008</v>
      </c>
      <c r="N62" s="7">
        <f t="shared" si="7"/>
        <v>0.78044406037439984</v>
      </c>
      <c r="O62" s="10">
        <f t="shared" si="3"/>
        <v>1638.0740383198279</v>
      </c>
    </row>
    <row r="63" spans="2:15" x14ac:dyDescent="0.25">
      <c r="B63" s="1">
        <v>1001946</v>
      </c>
      <c r="C63" s="12">
        <v>114</v>
      </c>
      <c r="D63" s="1" t="s">
        <v>115</v>
      </c>
      <c r="E63" s="1">
        <v>240.05</v>
      </c>
      <c r="F63" s="25">
        <v>150.15</v>
      </c>
      <c r="G63" s="25">
        <v>151</v>
      </c>
      <c r="H63" s="12">
        <f t="shared" si="2"/>
        <v>0.84999999999999432</v>
      </c>
      <c r="I63" s="12">
        <f t="shared" si="4"/>
        <v>204.04249999999865</v>
      </c>
      <c r="J63" s="9">
        <v>13.9</v>
      </c>
      <c r="K63" s="9">
        <v>13.57</v>
      </c>
      <c r="L63" s="7">
        <f t="shared" si="5"/>
        <v>17.269784172661872</v>
      </c>
      <c r="M63" s="7">
        <f t="shared" si="6"/>
        <v>17.689756816507</v>
      </c>
      <c r="N63" s="7">
        <f t="shared" si="7"/>
        <v>0.41997264384512789</v>
      </c>
      <c r="O63" s="10">
        <f t="shared" si="3"/>
        <v>881.48058216653897</v>
      </c>
    </row>
    <row r="64" spans="2:15" x14ac:dyDescent="0.25">
      <c r="B64" s="1">
        <v>1001946</v>
      </c>
      <c r="C64" s="12">
        <v>114</v>
      </c>
      <c r="D64" s="1" t="s">
        <v>115</v>
      </c>
      <c r="E64" s="1">
        <v>336.67</v>
      </c>
      <c r="F64" s="25">
        <v>150.15</v>
      </c>
      <c r="G64" s="25">
        <v>151</v>
      </c>
      <c r="H64" s="12">
        <f t="shared" si="2"/>
        <v>0.84999999999999432</v>
      </c>
      <c r="I64" s="12">
        <f t="shared" si="4"/>
        <v>286.1694999999981</v>
      </c>
      <c r="J64" s="9">
        <v>13.9</v>
      </c>
      <c r="K64" s="9">
        <v>13.57</v>
      </c>
      <c r="L64" s="7">
        <f t="shared" si="5"/>
        <v>24.22086330935252</v>
      </c>
      <c r="M64" s="7">
        <f t="shared" si="6"/>
        <v>24.80987472365512</v>
      </c>
      <c r="N64" s="7">
        <f t="shared" si="7"/>
        <v>0.5890114143026004</v>
      </c>
      <c r="O64" s="10">
        <f t="shared" si="3"/>
        <v>1236.276057479728</v>
      </c>
    </row>
    <row r="65" spans="2:15" x14ac:dyDescent="0.25">
      <c r="B65" s="1">
        <v>1001947</v>
      </c>
      <c r="C65" s="12">
        <v>114</v>
      </c>
      <c r="D65" s="1" t="s">
        <v>17</v>
      </c>
      <c r="E65" s="1">
        <v>466.76</v>
      </c>
      <c r="F65" s="25">
        <v>150.15</v>
      </c>
      <c r="G65" s="25">
        <v>151</v>
      </c>
      <c r="H65" s="12">
        <f t="shared" si="2"/>
        <v>0.84999999999999432</v>
      </c>
      <c r="I65" s="12">
        <f t="shared" si="4"/>
        <v>396.74599999999737</v>
      </c>
      <c r="J65" s="9">
        <v>13.9</v>
      </c>
      <c r="K65" s="9">
        <v>13.57</v>
      </c>
      <c r="L65" s="7">
        <f t="shared" si="5"/>
        <v>33.579856115107916</v>
      </c>
      <c r="M65" s="7">
        <f t="shared" si="6"/>
        <v>34.396462785556373</v>
      </c>
      <c r="N65" s="7">
        <f t="shared" si="7"/>
        <v>0.81660667044845781</v>
      </c>
      <c r="O65" s="10">
        <f t="shared" si="3"/>
        <v>1713.9757406042681</v>
      </c>
    </row>
    <row r="66" spans="2:15" x14ac:dyDescent="0.25">
      <c r="B66" s="1">
        <v>1002070</v>
      </c>
      <c r="C66" s="12">
        <v>114</v>
      </c>
      <c r="D66" s="1" t="s">
        <v>122</v>
      </c>
      <c r="E66" s="1">
        <v>50.4</v>
      </c>
      <c r="F66" s="25">
        <v>150.15</v>
      </c>
      <c r="G66" s="25">
        <v>151</v>
      </c>
      <c r="H66" s="12">
        <f t="shared" si="2"/>
        <v>0.84999999999999432</v>
      </c>
      <c r="I66" s="12">
        <f t="shared" si="4"/>
        <v>42.839999999999712</v>
      </c>
      <c r="J66" s="9">
        <v>15.4</v>
      </c>
      <c r="K66" s="9">
        <v>14.43</v>
      </c>
      <c r="L66" s="7">
        <f t="shared" si="5"/>
        <v>3.2727272727272725</v>
      </c>
      <c r="M66" s="7">
        <f t="shared" si="6"/>
        <v>3.4927234927234925</v>
      </c>
      <c r="N66" s="7">
        <f t="shared" si="7"/>
        <v>0.21999621999621999</v>
      </c>
      <c r="O66" s="10">
        <f t="shared" si="3"/>
        <v>511.57920997920996</v>
      </c>
    </row>
    <row r="67" spans="2:15" x14ac:dyDescent="0.25">
      <c r="B67" s="1">
        <v>1002070</v>
      </c>
      <c r="C67" s="12">
        <v>114</v>
      </c>
      <c r="D67" s="1" t="s">
        <v>122</v>
      </c>
      <c r="E67" s="1">
        <v>500</v>
      </c>
      <c r="F67" s="25">
        <v>150.15</v>
      </c>
      <c r="G67" s="25">
        <v>151</v>
      </c>
      <c r="H67" s="12">
        <f t="shared" si="2"/>
        <v>0.84999999999999432</v>
      </c>
      <c r="I67" s="12">
        <f t="shared" si="4"/>
        <v>424.99999999999716</v>
      </c>
      <c r="J67" s="9">
        <v>15.4</v>
      </c>
      <c r="K67" s="9">
        <v>14.43</v>
      </c>
      <c r="L67" s="7">
        <f t="shared" si="5"/>
        <v>32.467532467532465</v>
      </c>
      <c r="M67" s="7">
        <f t="shared" si="6"/>
        <v>34.650034650034648</v>
      </c>
      <c r="N67" s="7">
        <f t="shared" si="7"/>
        <v>2.1825021825021835</v>
      </c>
      <c r="O67" s="10">
        <f t="shared" si="3"/>
        <v>5075.1905751905779</v>
      </c>
    </row>
    <row r="68" spans="2:15" x14ac:dyDescent="0.25">
      <c r="B68" s="1">
        <v>1002070</v>
      </c>
      <c r="C68" s="12">
        <v>114</v>
      </c>
      <c r="D68" s="1" t="s">
        <v>122</v>
      </c>
      <c r="E68" s="1">
        <v>50.4</v>
      </c>
      <c r="F68" s="25">
        <v>150.15</v>
      </c>
      <c r="G68" s="25">
        <v>151</v>
      </c>
      <c r="H68" s="12">
        <f t="shared" si="2"/>
        <v>0.84999999999999432</v>
      </c>
      <c r="I68" s="12">
        <f t="shared" si="4"/>
        <v>42.839999999999712</v>
      </c>
      <c r="J68" s="9">
        <v>15.4</v>
      </c>
      <c r="K68" s="9">
        <v>14.43</v>
      </c>
      <c r="L68" s="7">
        <f t="shared" si="5"/>
        <v>3.2727272727272725</v>
      </c>
      <c r="M68" s="7">
        <f t="shared" si="6"/>
        <v>3.4927234927234925</v>
      </c>
      <c r="N68" s="7">
        <f t="shared" si="7"/>
        <v>0.21999621999621999</v>
      </c>
      <c r="O68" s="10">
        <f t="shared" si="3"/>
        <v>511.57920997920996</v>
      </c>
    </row>
    <row r="69" spans="2:15" x14ac:dyDescent="0.25">
      <c r="B69" s="1">
        <v>1002070</v>
      </c>
      <c r="C69" s="12">
        <v>114</v>
      </c>
      <c r="D69" s="1" t="s">
        <v>122</v>
      </c>
      <c r="E69" s="1">
        <v>500</v>
      </c>
      <c r="F69" s="25">
        <v>150.15</v>
      </c>
      <c r="G69" s="25">
        <v>151</v>
      </c>
      <c r="H69" s="12">
        <f t="shared" si="2"/>
        <v>0.84999999999999432</v>
      </c>
      <c r="I69" s="12">
        <f t="shared" si="4"/>
        <v>424.99999999999716</v>
      </c>
      <c r="J69" s="9">
        <v>15.4</v>
      </c>
      <c r="K69" s="9">
        <v>14.43</v>
      </c>
      <c r="L69" s="7">
        <f t="shared" si="5"/>
        <v>32.467532467532465</v>
      </c>
      <c r="M69" s="7">
        <f t="shared" si="6"/>
        <v>34.650034650034648</v>
      </c>
      <c r="N69" s="7">
        <f t="shared" si="7"/>
        <v>2.1825021825021835</v>
      </c>
      <c r="O69" s="10">
        <f t="shared" si="3"/>
        <v>5075.1905751905779</v>
      </c>
    </row>
    <row r="70" spans="2:15" x14ac:dyDescent="0.25">
      <c r="B70" s="1">
        <v>1002116</v>
      </c>
      <c r="C70" s="12">
        <v>114</v>
      </c>
      <c r="D70" s="1" t="s">
        <v>64</v>
      </c>
      <c r="E70" s="1">
        <v>507.96</v>
      </c>
      <c r="F70" s="25">
        <v>150.15</v>
      </c>
      <c r="G70" s="25">
        <v>151</v>
      </c>
      <c r="H70" s="12">
        <f t="shared" si="2"/>
        <v>0.84999999999999432</v>
      </c>
      <c r="I70" s="12">
        <f t="shared" si="4"/>
        <v>431.76599999999712</v>
      </c>
      <c r="J70" s="3">
        <v>20.11</v>
      </c>
      <c r="K70" s="7">
        <v>19.600000000000001</v>
      </c>
      <c r="L70" s="7">
        <f t="shared" si="5"/>
        <v>25.259075087021383</v>
      </c>
      <c r="M70" s="7">
        <f t="shared" si="6"/>
        <v>25.916326530612242</v>
      </c>
      <c r="N70" s="7">
        <f t="shared" si="7"/>
        <v>0.65725144359085874</v>
      </c>
      <c r="O70" s="10">
        <f t="shared" si="3"/>
        <v>1995.8163061224375</v>
      </c>
    </row>
    <row r="71" spans="2:15" x14ac:dyDescent="0.25">
      <c r="B71" s="1">
        <v>1002116</v>
      </c>
      <c r="C71" s="12">
        <v>114</v>
      </c>
      <c r="D71" s="1" t="s">
        <v>64</v>
      </c>
      <c r="E71" s="1">
        <v>507.96</v>
      </c>
      <c r="F71" s="25">
        <v>150.15</v>
      </c>
      <c r="G71" s="25">
        <v>151</v>
      </c>
      <c r="H71" s="12">
        <f t="shared" si="2"/>
        <v>0.84999999999999432</v>
      </c>
      <c r="I71" s="12">
        <f t="shared" si="4"/>
        <v>431.76599999999712</v>
      </c>
      <c r="J71" s="3">
        <v>20.11</v>
      </c>
      <c r="K71" s="7">
        <v>19.600000000000001</v>
      </c>
      <c r="L71" s="7">
        <f t="shared" si="5"/>
        <v>25.259075087021383</v>
      </c>
      <c r="M71" s="7">
        <f t="shared" si="6"/>
        <v>25.916326530612242</v>
      </c>
      <c r="N71" s="7">
        <f t="shared" si="7"/>
        <v>0.65725144359085874</v>
      </c>
      <c r="O71" s="10">
        <f t="shared" si="3"/>
        <v>1995.8163061224375</v>
      </c>
    </row>
    <row r="72" spans="2:15" x14ac:dyDescent="0.25">
      <c r="B72" s="1">
        <v>1002120</v>
      </c>
      <c r="C72" s="12">
        <v>114</v>
      </c>
      <c r="D72" s="1" t="s">
        <v>59</v>
      </c>
      <c r="E72" s="1">
        <v>481.8</v>
      </c>
      <c r="F72" s="25">
        <v>150.15</v>
      </c>
      <c r="G72" s="25">
        <v>151</v>
      </c>
      <c r="H72" s="12">
        <f t="shared" si="2"/>
        <v>0.84999999999999432</v>
      </c>
      <c r="I72" s="12">
        <f t="shared" si="4"/>
        <v>409.52999999999724</v>
      </c>
      <c r="J72" s="9">
        <v>15.4</v>
      </c>
      <c r="K72" s="9">
        <v>14.43</v>
      </c>
      <c r="L72" s="7">
        <f t="shared" si="5"/>
        <v>31.285714285714285</v>
      </c>
      <c r="M72" s="7">
        <f t="shared" si="6"/>
        <v>33.388773388773387</v>
      </c>
      <c r="N72" s="7">
        <f t="shared" si="7"/>
        <v>2.1030591030591026</v>
      </c>
      <c r="O72" s="10">
        <f t="shared" si="3"/>
        <v>4890.4536382536371</v>
      </c>
    </row>
    <row r="73" spans="2:15" x14ac:dyDescent="0.25">
      <c r="B73" s="1">
        <v>1002185</v>
      </c>
      <c r="C73" s="12">
        <v>114</v>
      </c>
      <c r="D73" s="1" t="s">
        <v>20</v>
      </c>
      <c r="E73" s="3">
        <v>1432.65</v>
      </c>
      <c r="F73" s="25">
        <v>150.15</v>
      </c>
      <c r="G73" s="25">
        <v>151</v>
      </c>
      <c r="H73" s="12">
        <f t="shared" si="2"/>
        <v>0.84999999999999432</v>
      </c>
      <c r="I73" s="12">
        <f t="shared" si="4"/>
        <v>1217.7524999999919</v>
      </c>
      <c r="J73" s="9">
        <v>26</v>
      </c>
      <c r="K73" s="9">
        <v>24.67</v>
      </c>
      <c r="L73" s="7">
        <f t="shared" si="5"/>
        <v>55.101923076923079</v>
      </c>
      <c r="M73" s="7">
        <f t="shared" si="6"/>
        <v>58.072557762464534</v>
      </c>
      <c r="N73" s="7">
        <f t="shared" si="7"/>
        <v>2.9706346855414552</v>
      </c>
      <c r="O73" s="10">
        <f t="shared" si="3"/>
        <v>11662.711775435753</v>
      </c>
    </row>
    <row r="74" spans="2:15" x14ac:dyDescent="0.25">
      <c r="B74" s="1">
        <v>1002185</v>
      </c>
      <c r="C74" s="12">
        <v>114</v>
      </c>
      <c r="D74" s="1" t="s">
        <v>20</v>
      </c>
      <c r="E74" s="1">
        <v>510</v>
      </c>
      <c r="F74" s="25">
        <v>150.15</v>
      </c>
      <c r="G74" s="25">
        <v>151</v>
      </c>
      <c r="H74" s="12">
        <f t="shared" si="2"/>
        <v>0.84999999999999432</v>
      </c>
      <c r="I74" s="12">
        <f t="shared" si="4"/>
        <v>433.4999999999971</v>
      </c>
      <c r="J74" s="9">
        <v>26</v>
      </c>
      <c r="K74" s="9">
        <v>24.67</v>
      </c>
      <c r="L74" s="7">
        <f t="shared" si="5"/>
        <v>19.615384615384617</v>
      </c>
      <c r="M74" s="7">
        <f t="shared" si="6"/>
        <v>20.672882042967164</v>
      </c>
      <c r="N74" s="7">
        <f t="shared" si="7"/>
        <v>1.0574974275825468</v>
      </c>
      <c r="O74" s="10">
        <f t="shared" si="3"/>
        <v>4151.734900689079</v>
      </c>
    </row>
    <row r="75" spans="2:15" x14ac:dyDescent="0.25">
      <c r="B75" s="1">
        <v>1002185</v>
      </c>
      <c r="C75" s="12">
        <v>114</v>
      </c>
      <c r="D75" s="1" t="s">
        <v>20</v>
      </c>
      <c r="E75" s="1">
        <v>21.44</v>
      </c>
      <c r="F75" s="25">
        <v>150.15</v>
      </c>
      <c r="G75" s="25">
        <v>151</v>
      </c>
      <c r="H75" s="12">
        <f t="shared" si="2"/>
        <v>0.84999999999999432</v>
      </c>
      <c r="I75" s="12">
        <f t="shared" si="4"/>
        <v>18.223999999999879</v>
      </c>
      <c r="J75" s="9">
        <v>26</v>
      </c>
      <c r="K75" s="9">
        <v>24.67</v>
      </c>
      <c r="L75" s="7">
        <f t="shared" si="5"/>
        <v>0.82461538461538464</v>
      </c>
      <c r="M75" s="7">
        <f t="shared" si="6"/>
        <v>0.86907174706120793</v>
      </c>
      <c r="N75" s="7">
        <f t="shared" si="7"/>
        <v>4.4456362445823294E-2</v>
      </c>
      <c r="O75" s="10">
        <f t="shared" si="3"/>
        <v>174.53567896230226</v>
      </c>
    </row>
    <row r="76" spans="2:15" x14ac:dyDescent="0.25">
      <c r="B76" s="1">
        <v>1002186</v>
      </c>
      <c r="C76" s="12">
        <v>114</v>
      </c>
      <c r="D76" s="1" t="s">
        <v>44</v>
      </c>
      <c r="E76" s="1">
        <v>487.66</v>
      </c>
      <c r="F76" s="25">
        <v>150.15</v>
      </c>
      <c r="G76" s="25">
        <v>151</v>
      </c>
      <c r="H76" s="12">
        <f t="shared" si="2"/>
        <v>0.84999999999999432</v>
      </c>
      <c r="I76" s="12">
        <f t="shared" si="4"/>
        <v>414.51099999999724</v>
      </c>
      <c r="J76" s="9">
        <v>26</v>
      </c>
      <c r="K76" s="9">
        <v>24.67</v>
      </c>
      <c r="L76" s="7">
        <f t="shared" si="5"/>
        <v>18.756153846153847</v>
      </c>
      <c r="M76" s="7">
        <f t="shared" si="6"/>
        <v>19.767328739359545</v>
      </c>
      <c r="N76" s="7">
        <f t="shared" si="7"/>
        <v>1.0111748932056983</v>
      </c>
      <c r="O76" s="10">
        <f t="shared" si="3"/>
        <v>3969.8726307255715</v>
      </c>
    </row>
    <row r="77" spans="2:15" x14ac:dyDescent="0.25">
      <c r="B77" s="1">
        <v>1002188</v>
      </c>
      <c r="C77" s="12">
        <v>114</v>
      </c>
      <c r="D77" s="1" t="s">
        <v>19</v>
      </c>
      <c r="E77" s="1">
        <v>488.77</v>
      </c>
      <c r="F77" s="25">
        <v>150.15</v>
      </c>
      <c r="G77" s="25">
        <v>151</v>
      </c>
      <c r="H77" s="12">
        <f t="shared" si="2"/>
        <v>0.84999999999999432</v>
      </c>
      <c r="I77" s="12">
        <f t="shared" si="4"/>
        <v>415.45449999999721</v>
      </c>
      <c r="J77" s="9">
        <v>26</v>
      </c>
      <c r="K77" s="9">
        <v>24.67</v>
      </c>
      <c r="L77" s="7">
        <f t="shared" si="5"/>
        <v>18.798846153846153</v>
      </c>
      <c r="M77" s="7">
        <f t="shared" si="6"/>
        <v>19.812322659100118</v>
      </c>
      <c r="N77" s="7">
        <f t="shared" si="7"/>
        <v>1.0134765052539656</v>
      </c>
      <c r="O77" s="10">
        <f t="shared" si="3"/>
        <v>3978.9087596270688</v>
      </c>
    </row>
    <row r="78" spans="2:15" x14ac:dyDescent="0.25">
      <c r="B78" s="1">
        <v>1002377</v>
      </c>
      <c r="C78" s="12">
        <v>114</v>
      </c>
      <c r="D78" s="1" t="s">
        <v>65</v>
      </c>
      <c r="E78" s="1">
        <v>28.31</v>
      </c>
      <c r="F78" s="25">
        <v>150.15</v>
      </c>
      <c r="G78" s="25">
        <v>151</v>
      </c>
      <c r="H78" s="12">
        <f t="shared" si="2"/>
        <v>0.84999999999999432</v>
      </c>
      <c r="I78" s="12">
        <f t="shared" si="4"/>
        <v>24.063499999999838</v>
      </c>
      <c r="J78" s="3">
        <v>20.11</v>
      </c>
      <c r="K78" s="7">
        <v>19.600000000000001</v>
      </c>
      <c r="L78" s="7">
        <f t="shared" si="5"/>
        <v>1.4077573346593735</v>
      </c>
      <c r="M78" s="7">
        <f t="shared" si="6"/>
        <v>1.4443877551020405</v>
      </c>
      <c r="N78" s="7">
        <f t="shared" si="7"/>
        <v>3.6630420442667067E-2</v>
      </c>
      <c r="O78" s="10">
        <f t="shared" si="3"/>
        <v>111.23230102040723</v>
      </c>
    </row>
    <row r="79" spans="2:15" x14ac:dyDescent="0.25">
      <c r="B79" s="1">
        <v>1002377</v>
      </c>
      <c r="C79" s="12">
        <v>114</v>
      </c>
      <c r="D79" s="1" t="s">
        <v>65</v>
      </c>
      <c r="E79" s="1">
        <v>787.98</v>
      </c>
      <c r="F79" s="25">
        <v>150.15</v>
      </c>
      <c r="G79" s="25">
        <v>151</v>
      </c>
      <c r="H79" s="12">
        <f t="shared" si="2"/>
        <v>0.84999999999999432</v>
      </c>
      <c r="I79" s="12">
        <f t="shared" si="4"/>
        <v>669.78299999999558</v>
      </c>
      <c r="J79" s="3">
        <v>20.11</v>
      </c>
      <c r="K79" s="7">
        <v>19.600000000000001</v>
      </c>
      <c r="L79" s="7">
        <f t="shared" si="5"/>
        <v>39.183490800596722</v>
      </c>
      <c r="M79" s="7">
        <f t="shared" si="6"/>
        <v>40.203061224489794</v>
      </c>
      <c r="N79" s="7">
        <f t="shared" si="7"/>
        <v>1.0195704238930716</v>
      </c>
      <c r="O79" s="10">
        <f t="shared" si="3"/>
        <v>3096.0377448979402</v>
      </c>
    </row>
    <row r="80" spans="2:15" x14ac:dyDescent="0.25">
      <c r="B80" s="1">
        <v>1002379</v>
      </c>
      <c r="C80" s="12">
        <v>114</v>
      </c>
      <c r="D80" s="1" t="s">
        <v>66</v>
      </c>
      <c r="E80" s="1">
        <v>677.79</v>
      </c>
      <c r="F80" s="25">
        <v>150.15</v>
      </c>
      <c r="G80" s="25">
        <v>151</v>
      </c>
      <c r="H80" s="12">
        <f t="shared" si="2"/>
        <v>0.84999999999999432</v>
      </c>
      <c r="I80" s="12">
        <f t="shared" si="4"/>
        <v>576.1214999999961</v>
      </c>
      <c r="J80" s="9">
        <v>15.5</v>
      </c>
      <c r="K80" s="9">
        <v>15.09</v>
      </c>
      <c r="L80" s="7">
        <f t="shared" si="5"/>
        <v>43.728387096774192</v>
      </c>
      <c r="M80" s="7">
        <f t="shared" si="6"/>
        <v>44.916500994035786</v>
      </c>
      <c r="N80" s="7">
        <f t="shared" si="7"/>
        <v>1.1881138972615943</v>
      </c>
      <c r="O80" s="10">
        <f t="shared" si="3"/>
        <v>2780.7805765407616</v>
      </c>
    </row>
    <row r="81" spans="2:23" x14ac:dyDescent="0.25">
      <c r="B81" s="1">
        <v>1002380</v>
      </c>
      <c r="C81" s="12">
        <v>114</v>
      </c>
      <c r="D81" s="1" t="s">
        <v>60</v>
      </c>
      <c r="E81" s="1">
        <v>179.66</v>
      </c>
      <c r="F81" s="25">
        <v>150.15</v>
      </c>
      <c r="G81" s="25">
        <v>151</v>
      </c>
      <c r="H81" s="12">
        <f t="shared" si="2"/>
        <v>0.84999999999999432</v>
      </c>
      <c r="I81" s="12">
        <f t="shared" si="4"/>
        <v>152.71099999999899</v>
      </c>
      <c r="J81" s="9">
        <v>15.4</v>
      </c>
      <c r="K81" s="9">
        <v>14.43</v>
      </c>
      <c r="L81" s="7">
        <f t="shared" si="5"/>
        <v>11.666233766233766</v>
      </c>
      <c r="M81" s="7">
        <f t="shared" si="6"/>
        <v>12.45045045045045</v>
      </c>
      <c r="N81" s="7">
        <f t="shared" si="7"/>
        <v>0.784216684216684</v>
      </c>
      <c r="O81" s="10">
        <f t="shared" si="3"/>
        <v>1823.617477477477</v>
      </c>
    </row>
    <row r="82" spans="2:23" x14ac:dyDescent="0.25">
      <c r="B82" s="1">
        <v>1002380</v>
      </c>
      <c r="C82" s="12">
        <v>114</v>
      </c>
      <c r="D82" s="1" t="s">
        <v>60</v>
      </c>
      <c r="E82" s="1">
        <v>420</v>
      </c>
      <c r="F82" s="25">
        <v>150.15</v>
      </c>
      <c r="G82" s="25">
        <v>151</v>
      </c>
      <c r="H82" s="12">
        <f t="shared" si="2"/>
        <v>0.84999999999999432</v>
      </c>
      <c r="I82" s="12">
        <f t="shared" si="4"/>
        <v>356.99999999999761</v>
      </c>
      <c r="J82" s="9">
        <v>15.4</v>
      </c>
      <c r="K82" s="9">
        <v>14.43</v>
      </c>
      <c r="L82" s="7">
        <f t="shared" si="5"/>
        <v>27.272727272727273</v>
      </c>
      <c r="M82" s="7">
        <f t="shared" si="6"/>
        <v>29.106029106029105</v>
      </c>
      <c r="N82" s="7">
        <f t="shared" si="7"/>
        <v>1.8333018333018316</v>
      </c>
      <c r="O82" s="10">
        <f t="shared" si="3"/>
        <v>4263.1600831600799</v>
      </c>
    </row>
    <row r="83" spans="2:23" x14ac:dyDescent="0.25">
      <c r="B83" s="1">
        <v>1002444</v>
      </c>
      <c r="C83" s="12">
        <v>114</v>
      </c>
      <c r="D83" s="1" t="s">
        <v>114</v>
      </c>
      <c r="E83" s="1">
        <v>191</v>
      </c>
      <c r="F83" s="25">
        <v>150.15</v>
      </c>
      <c r="G83" s="25">
        <v>151</v>
      </c>
      <c r="H83" s="12">
        <f t="shared" si="2"/>
        <v>0.84999999999999432</v>
      </c>
      <c r="I83" s="12">
        <f t="shared" si="4"/>
        <v>162.34999999999891</v>
      </c>
      <c r="J83" s="3">
        <v>20.11</v>
      </c>
      <c r="K83" s="7">
        <v>19.600000000000001</v>
      </c>
      <c r="L83" s="7">
        <f t="shared" si="5"/>
        <v>9.497762307309797</v>
      </c>
      <c r="M83" s="7">
        <f t="shared" si="6"/>
        <v>9.7448979591836729</v>
      </c>
      <c r="N83" s="7">
        <f t="shared" si="7"/>
        <v>0.24713565187387587</v>
      </c>
      <c r="O83" s="10">
        <f t="shared" si="3"/>
        <v>750.45459183673029</v>
      </c>
    </row>
    <row r="84" spans="2:23" x14ac:dyDescent="0.25">
      <c r="B84" s="1">
        <v>1002444</v>
      </c>
      <c r="C84" s="12">
        <v>114</v>
      </c>
      <c r="D84" s="1" t="s">
        <v>114</v>
      </c>
      <c r="E84" s="1">
        <v>1.17</v>
      </c>
      <c r="F84" s="25">
        <v>150.15</v>
      </c>
      <c r="G84" s="25">
        <v>151</v>
      </c>
      <c r="H84" s="12">
        <f t="shared" ref="H84:H90" si="8">G84-F84</f>
        <v>0.84999999999999432</v>
      </c>
      <c r="I84" s="12">
        <f t="shared" si="4"/>
        <v>0.99449999999999328</v>
      </c>
      <c r="J84" s="3">
        <v>20.11</v>
      </c>
      <c r="K84" s="7">
        <v>19.600000000000001</v>
      </c>
      <c r="L84" s="7">
        <f t="shared" si="5"/>
        <v>5.8180009945300842E-2</v>
      </c>
      <c r="M84" s="7">
        <f t="shared" si="6"/>
        <v>5.9693877551020402E-2</v>
      </c>
      <c r="N84" s="7">
        <f t="shared" si="7"/>
        <v>1.5138676057195599E-3</v>
      </c>
      <c r="O84" s="10">
        <f t="shared" ref="O84:O90" si="9">N84*J84*G84</f>
        <v>4.5970255102040722</v>
      </c>
    </row>
    <row r="85" spans="2:23" x14ac:dyDescent="0.25">
      <c r="B85" s="1">
        <v>1002444</v>
      </c>
      <c r="C85" s="12">
        <v>114</v>
      </c>
      <c r="D85" s="1" t="s">
        <v>114</v>
      </c>
      <c r="E85" s="1">
        <v>508.83</v>
      </c>
      <c r="F85" s="25">
        <v>150.15</v>
      </c>
      <c r="G85" s="25">
        <v>151</v>
      </c>
      <c r="H85" s="12">
        <f t="shared" si="8"/>
        <v>0.84999999999999432</v>
      </c>
      <c r="I85" s="12">
        <f t="shared" ref="I85:I90" si="10">H85*E85</f>
        <v>432.50549999999708</v>
      </c>
      <c r="J85" s="3">
        <v>20.11</v>
      </c>
      <c r="K85" s="7">
        <v>19.600000000000001</v>
      </c>
      <c r="L85" s="7">
        <f t="shared" ref="L85:L90" si="11">E85/J85</f>
        <v>25.302337145698658</v>
      </c>
      <c r="M85" s="7">
        <f t="shared" ref="M85:M90" si="12">E85/K85</f>
        <v>25.960714285714282</v>
      </c>
      <c r="N85" s="7">
        <f t="shared" ref="N85:N90" si="13">M85-L85</f>
        <v>0.65837714001562375</v>
      </c>
      <c r="O85" s="10">
        <f t="shared" si="9"/>
        <v>1999.2346071428433</v>
      </c>
    </row>
    <row r="86" spans="2:23" x14ac:dyDescent="0.25">
      <c r="B86" s="1">
        <v>1002444</v>
      </c>
      <c r="C86" s="12">
        <v>114</v>
      </c>
      <c r="D86" s="1" t="s">
        <v>114</v>
      </c>
      <c r="E86" s="1">
        <v>510</v>
      </c>
      <c r="F86" s="25">
        <v>150.15</v>
      </c>
      <c r="G86" s="25">
        <v>151</v>
      </c>
      <c r="H86" s="12">
        <f t="shared" si="8"/>
        <v>0.84999999999999432</v>
      </c>
      <c r="I86" s="12">
        <f t="shared" si="10"/>
        <v>433.4999999999971</v>
      </c>
      <c r="J86" s="3">
        <v>20.11</v>
      </c>
      <c r="K86" s="7">
        <v>19.600000000000001</v>
      </c>
      <c r="L86" s="7">
        <f t="shared" si="11"/>
        <v>25.360517155643958</v>
      </c>
      <c r="M86" s="7">
        <f t="shared" si="12"/>
        <v>26.020408163265305</v>
      </c>
      <c r="N86" s="7">
        <f t="shared" si="13"/>
        <v>0.65989100762134711</v>
      </c>
      <c r="O86" s="10">
        <f t="shared" si="9"/>
        <v>2003.8316326530589</v>
      </c>
    </row>
    <row r="87" spans="2:23" x14ac:dyDescent="0.25">
      <c r="B87" s="1">
        <v>1002444</v>
      </c>
      <c r="C87" s="12">
        <v>114</v>
      </c>
      <c r="D87" s="1" t="s">
        <v>114</v>
      </c>
      <c r="E87" s="1">
        <v>298.93</v>
      </c>
      <c r="F87" s="25">
        <v>150.15</v>
      </c>
      <c r="G87" s="25">
        <v>151</v>
      </c>
      <c r="H87" s="12">
        <f t="shared" si="8"/>
        <v>0.84999999999999432</v>
      </c>
      <c r="I87" s="12">
        <f t="shared" si="10"/>
        <v>254.09049999999831</v>
      </c>
      <c r="J87" s="3">
        <v>20.11</v>
      </c>
      <c r="K87" s="7">
        <v>19.600000000000001</v>
      </c>
      <c r="L87" s="7">
        <f t="shared" si="11"/>
        <v>14.864743908503232</v>
      </c>
      <c r="M87" s="7">
        <f t="shared" si="12"/>
        <v>15.251530612244897</v>
      </c>
      <c r="N87" s="7">
        <f t="shared" si="13"/>
        <v>0.38678670374166479</v>
      </c>
      <c r="O87" s="10">
        <f t="shared" si="9"/>
        <v>1174.5203724489766</v>
      </c>
    </row>
    <row r="88" spans="2:23" x14ac:dyDescent="0.25">
      <c r="B88" s="1">
        <v>1002446</v>
      </c>
      <c r="C88" s="12">
        <v>114</v>
      </c>
      <c r="D88" s="1" t="s">
        <v>113</v>
      </c>
      <c r="E88" s="1">
        <v>431.6</v>
      </c>
      <c r="F88" s="25">
        <v>150.15</v>
      </c>
      <c r="G88" s="25">
        <v>151</v>
      </c>
      <c r="H88" s="12">
        <f t="shared" si="8"/>
        <v>0.84999999999999432</v>
      </c>
      <c r="I88" s="12">
        <f t="shared" si="10"/>
        <v>366.85999999999757</v>
      </c>
      <c r="J88" s="9">
        <v>15.5</v>
      </c>
      <c r="K88" s="9">
        <v>15.09</v>
      </c>
      <c r="L88" s="7">
        <f t="shared" si="11"/>
        <v>27.845161290322583</v>
      </c>
      <c r="M88" s="7">
        <f t="shared" si="12"/>
        <v>28.601722995361168</v>
      </c>
      <c r="N88" s="7">
        <f t="shared" si="13"/>
        <v>0.75656170503858533</v>
      </c>
      <c r="O88" s="10">
        <f t="shared" si="9"/>
        <v>1770.7326706428089</v>
      </c>
    </row>
    <row r="89" spans="2:23" x14ac:dyDescent="0.25">
      <c r="B89" s="1">
        <v>1002446</v>
      </c>
      <c r="C89" s="12">
        <v>114</v>
      </c>
      <c r="D89" s="1" t="s">
        <v>113</v>
      </c>
      <c r="E89" s="1">
        <v>431.6</v>
      </c>
      <c r="F89" s="25">
        <v>150.15</v>
      </c>
      <c r="G89" s="25">
        <v>151</v>
      </c>
      <c r="H89" s="12">
        <f t="shared" si="8"/>
        <v>0.84999999999999432</v>
      </c>
      <c r="I89" s="12">
        <f t="shared" si="10"/>
        <v>366.85999999999757</v>
      </c>
      <c r="J89" s="9">
        <v>15.5</v>
      </c>
      <c r="K89" s="9">
        <v>15.09</v>
      </c>
      <c r="L89" s="7">
        <f t="shared" si="11"/>
        <v>27.845161290322583</v>
      </c>
      <c r="M89" s="7">
        <f t="shared" si="12"/>
        <v>28.601722995361168</v>
      </c>
      <c r="N89" s="7">
        <f t="shared" si="13"/>
        <v>0.75656170503858533</v>
      </c>
      <c r="O89" s="10">
        <f t="shared" si="9"/>
        <v>1770.7326706428089</v>
      </c>
    </row>
    <row r="90" spans="2:23" x14ac:dyDescent="0.25">
      <c r="B90" s="1">
        <v>1002690</v>
      </c>
      <c r="C90" s="12">
        <v>114</v>
      </c>
      <c r="D90" s="1" t="s">
        <v>123</v>
      </c>
      <c r="E90" s="1">
        <v>452.16</v>
      </c>
      <c r="F90" s="25">
        <v>150.15</v>
      </c>
      <c r="G90" s="25">
        <v>151</v>
      </c>
      <c r="H90" s="12">
        <f t="shared" si="8"/>
        <v>0.84999999999999432</v>
      </c>
      <c r="I90" s="12">
        <f t="shared" si="10"/>
        <v>384.33599999999745</v>
      </c>
      <c r="J90" s="17">
        <v>17.670000000000002</v>
      </c>
      <c r="K90" s="17">
        <v>17</v>
      </c>
      <c r="L90" s="7">
        <f t="shared" si="11"/>
        <v>25.589134125636672</v>
      </c>
      <c r="M90" s="7">
        <f t="shared" si="12"/>
        <v>26.597647058823529</v>
      </c>
      <c r="N90" s="7">
        <f t="shared" si="13"/>
        <v>1.0085129331868572</v>
      </c>
      <c r="O90" s="10">
        <f t="shared" si="9"/>
        <v>2690.8839529411771</v>
      </c>
    </row>
    <row r="91" spans="2:23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23" x14ac:dyDescent="0.25">
      <c r="B92" s="1"/>
      <c r="C92" s="1"/>
      <c r="D92" s="1"/>
      <c r="E92" s="1">
        <f>SUM(E20:E91)</f>
        <v>40625.19</v>
      </c>
      <c r="F92" s="1"/>
      <c r="G92" s="1"/>
      <c r="H92" s="1" t="s">
        <v>21</v>
      </c>
      <c r="I92" s="39">
        <f>SUM(I20:I90)</f>
        <v>34531.411499999769</v>
      </c>
      <c r="J92" s="1"/>
      <c r="K92" s="1"/>
      <c r="L92" s="1"/>
      <c r="M92" s="1"/>
      <c r="N92" s="1" t="s">
        <v>21</v>
      </c>
      <c r="O92" s="39">
        <f>SUM(O20:O90)</f>
        <v>251707.7280882734</v>
      </c>
      <c r="W92" t="e">
        <f>#REF!*2.45</f>
        <v>#REF!</v>
      </c>
    </row>
    <row r="93" spans="2:23" x14ac:dyDescent="0.25">
      <c r="L93" s="32"/>
    </row>
    <row r="94" spans="2:23" x14ac:dyDescent="0.25">
      <c r="G94" t="s">
        <v>236</v>
      </c>
      <c r="J94" s="11">
        <f>I92+O92</f>
        <v>286239.13958827319</v>
      </c>
    </row>
    <row r="95" spans="2:23" x14ac:dyDescent="0.25">
      <c r="C95" t="s">
        <v>235</v>
      </c>
      <c r="E95" s="18">
        <f>E92</f>
        <v>40625.19</v>
      </c>
    </row>
    <row r="96" spans="2:23" x14ac:dyDescent="0.25">
      <c r="C96" t="s">
        <v>237</v>
      </c>
      <c r="E96">
        <v>152.6</v>
      </c>
      <c r="O96" s="5"/>
      <c r="R96" s="18"/>
      <c r="T96" s="11"/>
    </row>
    <row r="97" spans="2:20" x14ac:dyDescent="0.25">
      <c r="C97" t="s">
        <v>238</v>
      </c>
      <c r="E97">
        <v>150.15</v>
      </c>
      <c r="O97" s="26"/>
      <c r="R97" s="18"/>
      <c r="T97" s="11"/>
    </row>
    <row r="98" spans="2:20" x14ac:dyDescent="0.25">
      <c r="C98" t="s">
        <v>239</v>
      </c>
      <c r="E98">
        <f>E96-E97</f>
        <v>2.4499999999999886</v>
      </c>
      <c r="O98" s="26"/>
      <c r="R98" s="18"/>
      <c r="T98" s="11"/>
    </row>
    <row r="99" spans="2:20" x14ac:dyDescent="0.25">
      <c r="C99" t="s">
        <v>240</v>
      </c>
      <c r="E99" s="6">
        <f>E98*E95</f>
        <v>99531.71549999954</v>
      </c>
      <c r="O99" s="26"/>
      <c r="R99" s="18"/>
      <c r="T99" s="11"/>
    </row>
    <row r="100" spans="2:20" x14ac:dyDescent="0.25">
      <c r="O100" s="26"/>
      <c r="R100" s="18"/>
      <c r="T100" s="11"/>
    </row>
    <row r="101" spans="2:20" x14ac:dyDescent="0.25">
      <c r="O101" s="26"/>
      <c r="R101" s="18"/>
      <c r="T101" s="11"/>
    </row>
    <row r="102" spans="2:20" x14ac:dyDescent="0.25">
      <c r="B102" s="5" t="s">
        <v>166</v>
      </c>
      <c r="C102" s="1"/>
      <c r="D102" s="1"/>
      <c r="E102" s="1"/>
      <c r="F102" s="1"/>
      <c r="G102" s="1"/>
      <c r="H102" s="1"/>
      <c r="I102" s="1"/>
      <c r="J102" s="1"/>
      <c r="K102" s="1"/>
    </row>
    <row r="103" spans="2:20" ht="45" x14ac:dyDescent="0.25">
      <c r="B103" s="1" t="s">
        <v>167</v>
      </c>
      <c r="C103" s="1" t="s">
        <v>168</v>
      </c>
      <c r="D103" s="1" t="s">
        <v>169</v>
      </c>
      <c r="E103" s="1" t="s">
        <v>22</v>
      </c>
      <c r="F103" s="1" t="s">
        <v>170</v>
      </c>
      <c r="G103" s="1" t="s">
        <v>171</v>
      </c>
      <c r="H103" s="1" t="s">
        <v>52</v>
      </c>
      <c r="I103" s="5" t="s">
        <v>21</v>
      </c>
      <c r="J103" s="17" t="s">
        <v>53</v>
      </c>
      <c r="K103" s="17" t="s">
        <v>54</v>
      </c>
      <c r="L103" s="17" t="s">
        <v>1</v>
      </c>
      <c r="M103" s="17" t="s">
        <v>2</v>
      </c>
      <c r="N103" s="17" t="s">
        <v>3</v>
      </c>
      <c r="O103" s="17" t="s">
        <v>4</v>
      </c>
    </row>
    <row r="104" spans="2:20" x14ac:dyDescent="0.25">
      <c r="B104" s="1">
        <v>1000618</v>
      </c>
      <c r="C104" s="1">
        <v>114</v>
      </c>
      <c r="D104" s="1" t="s">
        <v>8</v>
      </c>
      <c r="E104" s="2">
        <v>1523</v>
      </c>
      <c r="F104" s="1">
        <v>162.9</v>
      </c>
      <c r="G104" s="1">
        <v>176.8</v>
      </c>
      <c r="H104" s="1">
        <f>G104-F104</f>
        <v>13.900000000000006</v>
      </c>
      <c r="I104" s="1">
        <f>E104*H104</f>
        <v>21169.700000000008</v>
      </c>
      <c r="J104" s="9">
        <v>15.4</v>
      </c>
      <c r="K104" s="9">
        <v>14.43</v>
      </c>
      <c r="L104" s="7">
        <f>E104/J104</f>
        <v>98.896103896103895</v>
      </c>
      <c r="M104" s="7">
        <f>E104/K104</f>
        <v>105.54400554400554</v>
      </c>
      <c r="N104" s="7">
        <f>M104-L104</f>
        <v>6.6479016479016479</v>
      </c>
      <c r="O104" s="10">
        <f>N104*J104*G104</f>
        <v>18100.374774774777</v>
      </c>
    </row>
    <row r="105" spans="2:20" x14ac:dyDescent="0.25">
      <c r="B105" s="1">
        <v>1000618</v>
      </c>
      <c r="C105" s="1">
        <v>114</v>
      </c>
      <c r="D105" s="1" t="s">
        <v>8</v>
      </c>
      <c r="E105" s="3">
        <v>1339.5</v>
      </c>
      <c r="F105" s="1">
        <v>162.9</v>
      </c>
      <c r="G105" s="1">
        <v>176.8</v>
      </c>
      <c r="H105" s="1">
        <f t="shared" ref="H105:H115" si="14">G105-F105</f>
        <v>13.900000000000006</v>
      </c>
      <c r="I105" s="1">
        <f t="shared" ref="I105:I115" si="15">E105*H105</f>
        <v>18619.050000000007</v>
      </c>
      <c r="J105" s="9">
        <v>15.4</v>
      </c>
      <c r="K105" s="9">
        <v>14.43</v>
      </c>
      <c r="L105" s="7">
        <f t="shared" ref="L105:L115" si="16">E105/J105</f>
        <v>86.980519480519476</v>
      </c>
      <c r="M105" s="7">
        <f t="shared" ref="M105:M115" si="17">E105/K105</f>
        <v>92.827442827442823</v>
      </c>
      <c r="N105" s="7">
        <f t="shared" ref="N105:N115" si="18">M105-L105</f>
        <v>5.8469233469233473</v>
      </c>
      <c r="O105" s="10">
        <f t="shared" ref="O105:O115" si="19">N105*J105*G105</f>
        <v>15919.535135135136</v>
      </c>
    </row>
    <row r="106" spans="2:20" x14ac:dyDescent="0.25">
      <c r="B106" s="1">
        <v>1000819</v>
      </c>
      <c r="C106" s="1">
        <v>114</v>
      </c>
      <c r="D106" s="1" t="s">
        <v>13</v>
      </c>
      <c r="E106" s="3">
        <v>2580.4</v>
      </c>
      <c r="F106" s="1">
        <v>162.9</v>
      </c>
      <c r="G106" s="1">
        <v>176.8</v>
      </c>
      <c r="H106" s="1">
        <f t="shared" si="14"/>
        <v>13.900000000000006</v>
      </c>
      <c r="I106" s="1">
        <f t="shared" si="15"/>
        <v>35867.560000000019</v>
      </c>
      <c r="J106" s="3">
        <v>20.11</v>
      </c>
      <c r="K106" s="7">
        <v>19.600000000000001</v>
      </c>
      <c r="L106" s="7">
        <f t="shared" si="16"/>
        <v>128.31427150671308</v>
      </c>
      <c r="M106" s="7">
        <f t="shared" si="17"/>
        <v>131.65306122448979</v>
      </c>
      <c r="N106" s="7">
        <f t="shared" si="18"/>
        <v>3.3387897177767059</v>
      </c>
      <c r="O106" s="10">
        <f t="shared" si="19"/>
        <v>11870.893224489755</v>
      </c>
    </row>
    <row r="107" spans="2:20" x14ac:dyDescent="0.25">
      <c r="B107" s="1">
        <v>1000819</v>
      </c>
      <c r="C107" s="1">
        <v>114</v>
      </c>
      <c r="D107" s="1" t="s">
        <v>13</v>
      </c>
      <c r="E107" s="3">
        <v>2030.5</v>
      </c>
      <c r="F107" s="1">
        <v>162.9</v>
      </c>
      <c r="G107" s="1">
        <v>176.8</v>
      </c>
      <c r="H107" s="1">
        <f t="shared" si="14"/>
        <v>13.900000000000006</v>
      </c>
      <c r="I107" s="1">
        <f t="shared" si="15"/>
        <v>28223.950000000012</v>
      </c>
      <c r="J107" s="3">
        <v>20.11</v>
      </c>
      <c r="K107" s="7">
        <v>19.600000000000001</v>
      </c>
      <c r="L107" s="7">
        <f t="shared" si="16"/>
        <v>100.96966683242168</v>
      </c>
      <c r="M107" s="7">
        <f t="shared" si="17"/>
        <v>103.5969387755102</v>
      </c>
      <c r="N107" s="7">
        <f t="shared" si="18"/>
        <v>2.6272719430885161</v>
      </c>
      <c r="O107" s="10">
        <f t="shared" si="19"/>
        <v>9341.1287755101785</v>
      </c>
    </row>
    <row r="108" spans="2:20" x14ac:dyDescent="0.25">
      <c r="B108" s="1">
        <v>1001921</v>
      </c>
      <c r="C108" s="1">
        <v>114</v>
      </c>
      <c r="D108" s="1" t="s">
        <v>11</v>
      </c>
      <c r="E108" s="1">
        <v>483.3</v>
      </c>
      <c r="F108" s="1">
        <v>162.9</v>
      </c>
      <c r="G108" s="1">
        <v>176.8</v>
      </c>
      <c r="H108" s="1">
        <f t="shared" si="14"/>
        <v>13.900000000000006</v>
      </c>
      <c r="I108" s="1">
        <f t="shared" si="15"/>
        <v>6717.8700000000026</v>
      </c>
      <c r="J108" s="9">
        <v>20.8</v>
      </c>
      <c r="K108" s="9">
        <v>19.559999999999999</v>
      </c>
      <c r="L108" s="7">
        <f t="shared" si="16"/>
        <v>23.235576923076923</v>
      </c>
      <c r="M108" s="7">
        <f t="shared" si="17"/>
        <v>24.708588957055216</v>
      </c>
      <c r="N108" s="7">
        <f t="shared" si="18"/>
        <v>1.4730120339782928</v>
      </c>
      <c r="O108" s="10">
        <f t="shared" si="19"/>
        <v>5416.9133742331333</v>
      </c>
    </row>
    <row r="109" spans="2:20" x14ac:dyDescent="0.25">
      <c r="B109" s="1">
        <v>1001921</v>
      </c>
      <c r="C109" s="1">
        <v>114</v>
      </c>
      <c r="D109" s="1" t="s">
        <v>11</v>
      </c>
      <c r="E109" s="1">
        <v>792.1</v>
      </c>
      <c r="F109" s="1">
        <v>162.9</v>
      </c>
      <c r="G109" s="1">
        <v>176.8</v>
      </c>
      <c r="H109" s="1">
        <f t="shared" si="14"/>
        <v>13.900000000000006</v>
      </c>
      <c r="I109" s="1">
        <f t="shared" si="15"/>
        <v>11010.190000000004</v>
      </c>
      <c r="J109" s="9">
        <v>20.8</v>
      </c>
      <c r="K109" s="9">
        <v>19.559999999999999</v>
      </c>
      <c r="L109" s="7">
        <f t="shared" si="16"/>
        <v>38.081730769230766</v>
      </c>
      <c r="M109" s="7">
        <f t="shared" si="17"/>
        <v>40.495910020449898</v>
      </c>
      <c r="N109" s="7">
        <f t="shared" si="18"/>
        <v>2.4141792512191316</v>
      </c>
      <c r="O109" s="10">
        <f t="shared" si="19"/>
        <v>8877.9993456032844</v>
      </c>
    </row>
    <row r="110" spans="2:20" x14ac:dyDescent="0.25">
      <c r="B110" s="1">
        <v>1001921</v>
      </c>
      <c r="C110" s="1">
        <v>114</v>
      </c>
      <c r="D110" s="1" t="s">
        <v>11</v>
      </c>
      <c r="E110" s="1">
        <v>773.4</v>
      </c>
      <c r="F110" s="1">
        <v>162.9</v>
      </c>
      <c r="G110" s="1">
        <v>176.8</v>
      </c>
      <c r="H110" s="1">
        <f t="shared" si="14"/>
        <v>13.900000000000006</v>
      </c>
      <c r="I110" s="1">
        <f t="shared" si="15"/>
        <v>10750.260000000004</v>
      </c>
      <c r="J110" s="9">
        <v>20.8</v>
      </c>
      <c r="K110" s="9">
        <v>19.559999999999999</v>
      </c>
      <c r="L110" s="7">
        <f t="shared" si="16"/>
        <v>37.182692307692307</v>
      </c>
      <c r="M110" s="7">
        <f t="shared" si="17"/>
        <v>39.539877300613497</v>
      </c>
      <c r="N110" s="7">
        <f t="shared" si="18"/>
        <v>2.3571849929211908</v>
      </c>
      <c r="O110" s="10">
        <f t="shared" si="19"/>
        <v>8668.4063803681038</v>
      </c>
    </row>
    <row r="111" spans="2:20" x14ac:dyDescent="0.25">
      <c r="B111" s="1">
        <v>1001922</v>
      </c>
      <c r="C111" s="1">
        <v>114</v>
      </c>
      <c r="D111" s="1" t="s">
        <v>5</v>
      </c>
      <c r="E111" s="1">
        <v>494.1</v>
      </c>
      <c r="F111" s="1">
        <v>162.9</v>
      </c>
      <c r="G111" s="1">
        <v>176.8</v>
      </c>
      <c r="H111" s="1">
        <f t="shared" si="14"/>
        <v>13.900000000000006</v>
      </c>
      <c r="I111" s="1">
        <f t="shared" si="15"/>
        <v>6867.9900000000034</v>
      </c>
      <c r="J111" s="9">
        <v>20.8</v>
      </c>
      <c r="K111" s="9">
        <v>19.559999999999999</v>
      </c>
      <c r="L111" s="7">
        <f t="shared" si="16"/>
        <v>23.754807692307693</v>
      </c>
      <c r="M111" s="7">
        <f t="shared" si="17"/>
        <v>25.260736196319023</v>
      </c>
      <c r="N111" s="7">
        <f t="shared" si="18"/>
        <v>1.5059285040113295</v>
      </c>
      <c r="O111" s="10">
        <f t="shared" si="19"/>
        <v>5537.9617177914242</v>
      </c>
    </row>
    <row r="112" spans="2:20" x14ac:dyDescent="0.25">
      <c r="B112" s="1">
        <v>1001922</v>
      </c>
      <c r="C112" s="1">
        <v>114</v>
      </c>
      <c r="D112" s="1" t="s">
        <v>5</v>
      </c>
      <c r="E112" s="1">
        <v>773.4</v>
      </c>
      <c r="F112" s="1">
        <v>162.9</v>
      </c>
      <c r="G112" s="1">
        <v>176.8</v>
      </c>
      <c r="H112" s="1">
        <f t="shared" si="14"/>
        <v>13.900000000000006</v>
      </c>
      <c r="I112" s="1">
        <f t="shared" si="15"/>
        <v>10750.260000000004</v>
      </c>
      <c r="J112" s="9">
        <v>20.8</v>
      </c>
      <c r="K112" s="9">
        <v>19.559999999999999</v>
      </c>
      <c r="L112" s="7">
        <f t="shared" si="16"/>
        <v>37.182692307692307</v>
      </c>
      <c r="M112" s="7">
        <f t="shared" si="17"/>
        <v>39.539877300613497</v>
      </c>
      <c r="N112" s="7">
        <f t="shared" si="18"/>
        <v>2.3571849929211908</v>
      </c>
      <c r="O112" s="10">
        <f t="shared" si="19"/>
        <v>8668.4063803681038</v>
      </c>
    </row>
    <row r="113" spans="2:18" x14ac:dyDescent="0.25">
      <c r="B113" s="1">
        <v>1001922</v>
      </c>
      <c r="C113" s="1">
        <v>114</v>
      </c>
      <c r="D113" s="1" t="s">
        <v>5</v>
      </c>
      <c r="E113" s="1">
        <v>792.1</v>
      </c>
      <c r="F113" s="1">
        <v>162.9</v>
      </c>
      <c r="G113" s="1">
        <v>176.8</v>
      </c>
      <c r="H113" s="1">
        <f t="shared" si="14"/>
        <v>13.900000000000006</v>
      </c>
      <c r="I113" s="1">
        <f t="shared" si="15"/>
        <v>11010.190000000004</v>
      </c>
      <c r="J113" s="9">
        <v>20.8</v>
      </c>
      <c r="K113" s="9">
        <v>19.559999999999999</v>
      </c>
      <c r="L113" s="7">
        <f t="shared" si="16"/>
        <v>38.081730769230766</v>
      </c>
      <c r="M113" s="7">
        <f t="shared" si="17"/>
        <v>40.495910020449898</v>
      </c>
      <c r="N113" s="7">
        <f t="shared" si="18"/>
        <v>2.4141792512191316</v>
      </c>
      <c r="O113" s="10">
        <f t="shared" si="19"/>
        <v>8877.9993456032844</v>
      </c>
    </row>
    <row r="114" spans="2:18" x14ac:dyDescent="0.25">
      <c r="B114" s="1">
        <v>1002185</v>
      </c>
      <c r="C114" s="1">
        <v>114</v>
      </c>
      <c r="D114" s="1" t="s">
        <v>20</v>
      </c>
      <c r="E114" s="1">
        <v>464.1</v>
      </c>
      <c r="F114" s="1">
        <v>162.9</v>
      </c>
      <c r="G114" s="1">
        <v>176.8</v>
      </c>
      <c r="H114" s="1">
        <f t="shared" si="14"/>
        <v>13.900000000000006</v>
      </c>
      <c r="I114" s="1">
        <f t="shared" si="15"/>
        <v>6450.9900000000025</v>
      </c>
      <c r="J114" s="9">
        <v>26</v>
      </c>
      <c r="K114" s="9">
        <v>24.67</v>
      </c>
      <c r="L114" s="7">
        <f t="shared" si="16"/>
        <v>17.850000000000001</v>
      </c>
      <c r="M114" s="7">
        <f t="shared" si="17"/>
        <v>18.812322659100122</v>
      </c>
      <c r="N114" s="7">
        <f t="shared" si="18"/>
        <v>0.9623226591001206</v>
      </c>
      <c r="O114" s="10">
        <f t="shared" si="19"/>
        <v>4423.6047993514348</v>
      </c>
    </row>
    <row r="115" spans="2:18" x14ac:dyDescent="0.25">
      <c r="B115" s="1">
        <v>1002185</v>
      </c>
      <c r="C115" s="1">
        <v>114</v>
      </c>
      <c r="D115" s="1" t="s">
        <v>20</v>
      </c>
      <c r="E115" s="2">
        <v>1022</v>
      </c>
      <c r="F115" s="1">
        <v>162.9</v>
      </c>
      <c r="G115" s="1">
        <v>176.8</v>
      </c>
      <c r="H115" s="1">
        <f t="shared" si="14"/>
        <v>13.900000000000006</v>
      </c>
      <c r="I115" s="1">
        <f t="shared" si="15"/>
        <v>14205.800000000007</v>
      </c>
      <c r="J115" s="9">
        <v>26</v>
      </c>
      <c r="K115" s="9">
        <v>24.67</v>
      </c>
      <c r="L115" s="7">
        <f t="shared" si="16"/>
        <v>39.307692307692307</v>
      </c>
      <c r="M115" s="7">
        <f t="shared" si="17"/>
        <v>41.426834211593025</v>
      </c>
      <c r="N115" s="7">
        <f t="shared" si="18"/>
        <v>2.1191419039007187</v>
      </c>
      <c r="O115" s="10">
        <f t="shared" si="19"/>
        <v>9741.271503850825</v>
      </c>
    </row>
    <row r="116" spans="2:18" x14ac:dyDescent="0.25">
      <c r="B116" s="1"/>
      <c r="C116" s="1"/>
      <c r="D116" s="1"/>
      <c r="E116" s="5">
        <f>SUM(E104:E115)</f>
        <v>13067.9</v>
      </c>
      <c r="F116" s="1"/>
      <c r="G116" s="1"/>
      <c r="H116" s="1"/>
      <c r="I116" s="5">
        <f>SUM(I104:I115)</f>
        <v>181643.81000000006</v>
      </c>
      <c r="O116" s="39">
        <f>SUM(O104:O115)</f>
        <v>115444.49475707943</v>
      </c>
    </row>
    <row r="118" spans="2:18" x14ac:dyDescent="0.25">
      <c r="F118" t="s">
        <v>236</v>
      </c>
      <c r="I118" s="11">
        <f>I116+O116</f>
        <v>297088.30475707946</v>
      </c>
    </row>
    <row r="120" spans="2:18" x14ac:dyDescent="0.25">
      <c r="C120" t="s">
        <v>235</v>
      </c>
      <c r="E120" s="18">
        <f>E116</f>
        <v>13067.9</v>
      </c>
    </row>
    <row r="121" spans="2:18" x14ac:dyDescent="0.25">
      <c r="C121" t="s">
        <v>237</v>
      </c>
      <c r="E121">
        <v>165.35</v>
      </c>
    </row>
    <row r="122" spans="2:18" x14ac:dyDescent="0.25">
      <c r="C122" t="s">
        <v>238</v>
      </c>
      <c r="E122">
        <v>162.9</v>
      </c>
    </row>
    <row r="123" spans="2:18" x14ac:dyDescent="0.25">
      <c r="C123" t="s">
        <v>239</v>
      </c>
      <c r="E123">
        <f>E121-E122</f>
        <v>2.4499999999999886</v>
      </c>
    </row>
    <row r="124" spans="2:18" x14ac:dyDescent="0.25">
      <c r="C124" t="s">
        <v>240</v>
      </c>
      <c r="E124" s="6">
        <f>E123*E120</f>
        <v>32016.35499999985</v>
      </c>
    </row>
    <row r="126" spans="2:18" x14ac:dyDescent="0.25">
      <c r="D126" s="6" t="s">
        <v>79</v>
      </c>
      <c r="P126" s="26"/>
      <c r="Q126" s="8"/>
      <c r="R126" s="26"/>
    </row>
    <row r="127" spans="2:18" x14ac:dyDescent="0.25">
      <c r="B127" s="1"/>
      <c r="C127" s="1"/>
      <c r="D127" s="1"/>
      <c r="E127" s="40" t="s">
        <v>38</v>
      </c>
      <c r="F127" s="40"/>
      <c r="G127" s="40" t="s">
        <v>50</v>
      </c>
      <c r="H127" s="40" t="s">
        <v>72</v>
      </c>
      <c r="I127" s="40" t="s">
        <v>52</v>
      </c>
      <c r="J127" s="40" t="s">
        <v>21</v>
      </c>
    </row>
    <row r="128" spans="2:18" x14ac:dyDescent="0.25">
      <c r="B128" s="1"/>
      <c r="C128" s="1"/>
      <c r="D128" s="1"/>
      <c r="E128" s="40"/>
      <c r="F128" s="40"/>
      <c r="G128" s="40"/>
      <c r="H128" s="40"/>
      <c r="I128" s="40"/>
      <c r="J128" s="40"/>
    </row>
    <row r="129" spans="2:10" x14ac:dyDescent="0.25">
      <c r="B129" s="1">
        <v>1000065</v>
      </c>
      <c r="C129" s="1"/>
      <c r="D129" s="1" t="s">
        <v>80</v>
      </c>
      <c r="E129" s="41">
        <v>4160</v>
      </c>
      <c r="F129" s="40" t="s">
        <v>39</v>
      </c>
      <c r="G129" s="40">
        <v>41.3</v>
      </c>
      <c r="H129" s="40">
        <v>43.38</v>
      </c>
      <c r="I129" s="40">
        <f t="shared" ref="I129:I174" si="20">H129-G129</f>
        <v>2.0800000000000054</v>
      </c>
      <c r="J129" s="42">
        <f t="shared" ref="J129:J138" si="21">I129*E129/130</f>
        <v>66.560000000000173</v>
      </c>
    </row>
    <row r="130" spans="2:10" x14ac:dyDescent="0.25">
      <c r="B130" s="1">
        <v>1000065</v>
      </c>
      <c r="C130" s="1"/>
      <c r="D130" s="1" t="s">
        <v>80</v>
      </c>
      <c r="E130" s="41">
        <v>7800</v>
      </c>
      <c r="F130" s="40" t="s">
        <v>39</v>
      </c>
      <c r="G130" s="40">
        <v>41.3</v>
      </c>
      <c r="H130" s="40">
        <v>43.38</v>
      </c>
      <c r="I130" s="40">
        <f t="shared" si="20"/>
        <v>2.0800000000000054</v>
      </c>
      <c r="J130" s="42">
        <f t="shared" si="21"/>
        <v>124.80000000000032</v>
      </c>
    </row>
    <row r="131" spans="2:10" x14ac:dyDescent="0.25">
      <c r="B131" s="1">
        <v>1000065</v>
      </c>
      <c r="C131" s="1"/>
      <c r="D131" s="1" t="s">
        <v>80</v>
      </c>
      <c r="E131" s="41">
        <v>13000</v>
      </c>
      <c r="F131" s="40" t="s">
        <v>39</v>
      </c>
      <c r="G131" s="40">
        <v>41.3</v>
      </c>
      <c r="H131" s="40">
        <v>43.38</v>
      </c>
      <c r="I131" s="40">
        <f t="shared" si="20"/>
        <v>2.0800000000000054</v>
      </c>
      <c r="J131" s="42">
        <f t="shared" si="21"/>
        <v>208.00000000000054</v>
      </c>
    </row>
    <row r="132" spans="2:10" x14ac:dyDescent="0.25">
      <c r="B132" s="1">
        <v>1000065</v>
      </c>
      <c r="C132" s="1"/>
      <c r="D132" s="1" t="s">
        <v>80</v>
      </c>
      <c r="E132" s="41">
        <v>6240</v>
      </c>
      <c r="F132" s="40" t="s">
        <v>39</v>
      </c>
      <c r="G132" s="40">
        <v>41.3</v>
      </c>
      <c r="H132" s="40">
        <v>43.38</v>
      </c>
      <c r="I132" s="40">
        <f t="shared" si="20"/>
        <v>2.0800000000000054</v>
      </c>
      <c r="J132" s="42">
        <f t="shared" si="21"/>
        <v>99.840000000000259</v>
      </c>
    </row>
    <row r="133" spans="2:10" x14ac:dyDescent="0.25">
      <c r="B133" s="1">
        <v>1000074</v>
      </c>
      <c r="C133" s="1"/>
      <c r="D133" s="1" t="s">
        <v>81</v>
      </c>
      <c r="E133" s="41">
        <v>15730</v>
      </c>
      <c r="F133" s="40" t="s">
        <v>39</v>
      </c>
      <c r="G133" s="40">
        <v>41.3</v>
      </c>
      <c r="H133" s="40">
        <v>43.38</v>
      </c>
      <c r="I133" s="40">
        <f t="shared" si="20"/>
        <v>2.0800000000000054</v>
      </c>
      <c r="J133" s="42">
        <f t="shared" si="21"/>
        <v>251.68000000000066</v>
      </c>
    </row>
    <row r="134" spans="2:10" x14ac:dyDescent="0.25">
      <c r="B134" s="1">
        <v>1000074</v>
      </c>
      <c r="C134" s="1"/>
      <c r="D134" s="1" t="s">
        <v>81</v>
      </c>
      <c r="E134" s="41">
        <v>14170</v>
      </c>
      <c r="F134" s="40" t="s">
        <v>39</v>
      </c>
      <c r="G134" s="40">
        <v>41.3</v>
      </c>
      <c r="H134" s="40">
        <v>43.38</v>
      </c>
      <c r="I134" s="40">
        <f t="shared" si="20"/>
        <v>2.0800000000000054</v>
      </c>
      <c r="J134" s="42">
        <f t="shared" si="21"/>
        <v>226.72000000000057</v>
      </c>
    </row>
    <row r="135" spans="2:10" x14ac:dyDescent="0.25">
      <c r="B135" s="1">
        <v>1000074</v>
      </c>
      <c r="C135" s="1"/>
      <c r="D135" s="1" t="s">
        <v>81</v>
      </c>
      <c r="E135" s="41">
        <v>30290</v>
      </c>
      <c r="F135" s="40" t="s">
        <v>39</v>
      </c>
      <c r="G135" s="40">
        <v>41.3</v>
      </c>
      <c r="H135" s="40">
        <v>43.38</v>
      </c>
      <c r="I135" s="40">
        <f t="shared" si="20"/>
        <v>2.0800000000000054</v>
      </c>
      <c r="J135" s="42">
        <f t="shared" si="21"/>
        <v>484.64000000000124</v>
      </c>
    </row>
    <row r="136" spans="2:10" x14ac:dyDescent="0.25">
      <c r="B136" s="1">
        <v>1000074</v>
      </c>
      <c r="C136" s="1"/>
      <c r="D136" s="1" t="s">
        <v>81</v>
      </c>
      <c r="E136" s="41">
        <v>20150</v>
      </c>
      <c r="F136" s="40" t="s">
        <v>39</v>
      </c>
      <c r="G136" s="40">
        <v>41.3</v>
      </c>
      <c r="H136" s="40">
        <v>43.38</v>
      </c>
      <c r="I136" s="40">
        <f t="shared" si="20"/>
        <v>2.0800000000000054</v>
      </c>
      <c r="J136" s="42">
        <f t="shared" si="21"/>
        <v>322.40000000000083</v>
      </c>
    </row>
    <row r="137" spans="2:10" x14ac:dyDescent="0.25">
      <c r="B137" s="1">
        <v>1000074</v>
      </c>
      <c r="C137" s="1"/>
      <c r="D137" s="1" t="s">
        <v>81</v>
      </c>
      <c r="E137" s="41">
        <v>7020</v>
      </c>
      <c r="F137" s="40" t="s">
        <v>39</v>
      </c>
      <c r="G137" s="40">
        <v>41.3</v>
      </c>
      <c r="H137" s="40">
        <v>43.38</v>
      </c>
      <c r="I137" s="40">
        <f t="shared" si="20"/>
        <v>2.0800000000000054</v>
      </c>
      <c r="J137" s="42">
        <f t="shared" si="21"/>
        <v>112.32000000000029</v>
      </c>
    </row>
    <row r="138" spans="2:10" x14ac:dyDescent="0.25">
      <c r="B138" s="1">
        <v>1000074</v>
      </c>
      <c r="C138" s="1"/>
      <c r="D138" s="1" t="s">
        <v>81</v>
      </c>
      <c r="E138" s="41">
        <v>10400</v>
      </c>
      <c r="F138" s="40" t="s">
        <v>39</v>
      </c>
      <c r="G138" s="40">
        <v>41.3</v>
      </c>
      <c r="H138" s="40">
        <v>43.38</v>
      </c>
      <c r="I138" s="40">
        <f t="shared" si="20"/>
        <v>2.0800000000000054</v>
      </c>
      <c r="J138" s="42">
        <f t="shared" si="21"/>
        <v>166.40000000000043</v>
      </c>
    </row>
    <row r="139" spans="2:10" x14ac:dyDescent="0.25">
      <c r="B139" s="1">
        <v>1000090</v>
      </c>
      <c r="C139" s="1"/>
      <c r="D139" s="1" t="s">
        <v>112</v>
      </c>
      <c r="E139" s="41">
        <v>38350</v>
      </c>
      <c r="F139" s="40" t="s">
        <v>39</v>
      </c>
      <c r="G139" s="40">
        <v>134.5</v>
      </c>
      <c r="H139" s="40">
        <v>139.41999999999999</v>
      </c>
      <c r="I139" s="40">
        <f t="shared" si="20"/>
        <v>4.9199999999999875</v>
      </c>
      <c r="J139" s="42">
        <f>I139*E139/325</f>
        <v>580.55999999999858</v>
      </c>
    </row>
    <row r="140" spans="2:10" x14ac:dyDescent="0.25">
      <c r="B140" s="1">
        <v>1000090</v>
      </c>
      <c r="C140" s="1"/>
      <c r="D140" s="1" t="s">
        <v>112</v>
      </c>
      <c r="E140" s="41">
        <v>63050</v>
      </c>
      <c r="F140" s="40" t="s">
        <v>39</v>
      </c>
      <c r="G140" s="40">
        <v>134.5</v>
      </c>
      <c r="H140" s="40">
        <v>139.41999999999999</v>
      </c>
      <c r="I140" s="40">
        <f t="shared" si="20"/>
        <v>4.9199999999999875</v>
      </c>
      <c r="J140" s="42">
        <f>I140*E140/325</f>
        <v>954.47999999999752</v>
      </c>
    </row>
    <row r="141" spans="2:10" x14ac:dyDescent="0.25">
      <c r="B141" s="1">
        <v>1000090</v>
      </c>
      <c r="C141" s="1"/>
      <c r="D141" s="1" t="s">
        <v>112</v>
      </c>
      <c r="E141" s="41">
        <v>77675</v>
      </c>
      <c r="F141" s="40" t="s">
        <v>39</v>
      </c>
      <c r="G141" s="40">
        <v>134.5</v>
      </c>
      <c r="H141" s="40">
        <v>139.41999999999999</v>
      </c>
      <c r="I141" s="40">
        <f t="shared" si="20"/>
        <v>4.9199999999999875</v>
      </c>
      <c r="J141" s="42">
        <f>I141*E141/325</f>
        <v>1175.8799999999969</v>
      </c>
    </row>
    <row r="142" spans="2:10" x14ac:dyDescent="0.25">
      <c r="B142" s="1">
        <v>1000090</v>
      </c>
      <c r="C142" s="1"/>
      <c r="D142" s="1" t="s">
        <v>112</v>
      </c>
      <c r="E142" s="41">
        <v>10075</v>
      </c>
      <c r="F142" s="40" t="s">
        <v>39</v>
      </c>
      <c r="G142" s="40">
        <v>134.5</v>
      </c>
      <c r="H142" s="40">
        <v>139.41999999999999</v>
      </c>
      <c r="I142" s="40">
        <f t="shared" si="20"/>
        <v>4.9199999999999875</v>
      </c>
      <c r="J142" s="42">
        <f>I142*E142/325</f>
        <v>152.51999999999961</v>
      </c>
    </row>
    <row r="143" spans="2:10" x14ac:dyDescent="0.25">
      <c r="B143" s="1">
        <v>1000090</v>
      </c>
      <c r="C143" s="1"/>
      <c r="D143" s="1" t="s">
        <v>112</v>
      </c>
      <c r="E143" s="41">
        <v>22425</v>
      </c>
      <c r="F143" s="40" t="s">
        <v>39</v>
      </c>
      <c r="G143" s="40">
        <v>134.5</v>
      </c>
      <c r="H143" s="40">
        <v>139.41999999999999</v>
      </c>
      <c r="I143" s="40">
        <f t="shared" si="20"/>
        <v>4.9199999999999875</v>
      </c>
      <c r="J143" s="42">
        <f>I143*E143/325</f>
        <v>339.47999999999917</v>
      </c>
    </row>
    <row r="144" spans="2:10" x14ac:dyDescent="0.25">
      <c r="B144" s="1">
        <v>1000107</v>
      </c>
      <c r="C144" s="1"/>
      <c r="D144" s="1" t="s">
        <v>82</v>
      </c>
      <c r="E144" s="41">
        <v>13000</v>
      </c>
      <c r="F144" s="40" t="s">
        <v>39</v>
      </c>
      <c r="G144" s="40">
        <v>41.3</v>
      </c>
      <c r="H144" s="40">
        <v>43.38</v>
      </c>
      <c r="I144" s="40">
        <f t="shared" si="20"/>
        <v>2.0800000000000054</v>
      </c>
      <c r="J144" s="42">
        <f>I144*E144/130</f>
        <v>208.00000000000054</v>
      </c>
    </row>
    <row r="145" spans="2:10" x14ac:dyDescent="0.25">
      <c r="B145" s="1">
        <v>1001355</v>
      </c>
      <c r="C145" s="1"/>
      <c r="D145" s="1" t="s">
        <v>111</v>
      </c>
      <c r="E145" s="41">
        <v>45825</v>
      </c>
      <c r="F145" s="40" t="s">
        <v>39</v>
      </c>
      <c r="G145" s="40">
        <v>132.5</v>
      </c>
      <c r="H145" s="40">
        <v>139.41999999999999</v>
      </c>
      <c r="I145" s="40">
        <f t="shared" si="20"/>
        <v>6.9199999999999875</v>
      </c>
      <c r="J145" s="42">
        <f t="shared" ref="J145:J170" si="22">I145*E145/325</f>
        <v>975.71999999999821</v>
      </c>
    </row>
    <row r="146" spans="2:10" x14ac:dyDescent="0.25">
      <c r="B146" s="1">
        <v>1001771</v>
      </c>
      <c r="C146" s="1"/>
      <c r="D146" s="1" t="s">
        <v>83</v>
      </c>
      <c r="E146" s="41">
        <v>80600</v>
      </c>
      <c r="F146" s="40" t="s">
        <v>39</v>
      </c>
      <c r="G146" s="40">
        <v>134.5</v>
      </c>
      <c r="H146" s="40">
        <v>139.41999999999999</v>
      </c>
      <c r="I146" s="40">
        <f t="shared" si="20"/>
        <v>4.9199999999999875</v>
      </c>
      <c r="J146" s="42">
        <f t="shared" si="22"/>
        <v>1220.1599999999969</v>
      </c>
    </row>
    <row r="147" spans="2:10" x14ac:dyDescent="0.25">
      <c r="B147" s="1">
        <v>1001771</v>
      </c>
      <c r="C147" s="1"/>
      <c r="D147" s="1" t="s">
        <v>83</v>
      </c>
      <c r="E147" s="41">
        <v>287950</v>
      </c>
      <c r="F147" s="40" t="s">
        <v>39</v>
      </c>
      <c r="G147" s="40">
        <v>134.5</v>
      </c>
      <c r="H147" s="40">
        <v>139.41999999999999</v>
      </c>
      <c r="I147" s="40">
        <f t="shared" si="20"/>
        <v>4.9199999999999875</v>
      </c>
      <c r="J147" s="42">
        <f t="shared" si="22"/>
        <v>4359.119999999989</v>
      </c>
    </row>
    <row r="148" spans="2:10" x14ac:dyDescent="0.25">
      <c r="B148" s="1">
        <v>1001771</v>
      </c>
      <c r="C148" s="1"/>
      <c r="D148" s="1" t="s">
        <v>83</v>
      </c>
      <c r="E148" s="41">
        <v>58485</v>
      </c>
      <c r="F148" s="40" t="s">
        <v>39</v>
      </c>
      <c r="G148" s="40">
        <v>134.5</v>
      </c>
      <c r="H148" s="40">
        <v>139.41999999999999</v>
      </c>
      <c r="I148" s="40">
        <f t="shared" si="20"/>
        <v>4.9199999999999875</v>
      </c>
      <c r="J148" s="42">
        <f t="shared" si="22"/>
        <v>885.37292307692076</v>
      </c>
    </row>
    <row r="149" spans="2:10" x14ac:dyDescent="0.25">
      <c r="B149" s="1">
        <v>1001771</v>
      </c>
      <c r="C149" s="1"/>
      <c r="D149" s="1" t="s">
        <v>83</v>
      </c>
      <c r="E149" s="41">
        <v>288100</v>
      </c>
      <c r="F149" s="40" t="s">
        <v>39</v>
      </c>
      <c r="G149" s="40">
        <v>134.5</v>
      </c>
      <c r="H149" s="40">
        <v>139.41999999999999</v>
      </c>
      <c r="I149" s="40">
        <f t="shared" si="20"/>
        <v>4.9199999999999875</v>
      </c>
      <c r="J149" s="42">
        <f t="shared" si="22"/>
        <v>4361.3907692307585</v>
      </c>
    </row>
    <row r="150" spans="2:10" x14ac:dyDescent="0.25">
      <c r="B150" s="1">
        <v>1001771</v>
      </c>
      <c r="C150" s="1"/>
      <c r="D150" s="1" t="s">
        <v>83</v>
      </c>
      <c r="E150" s="41">
        <v>9615</v>
      </c>
      <c r="F150" s="40" t="s">
        <v>39</v>
      </c>
      <c r="G150" s="40">
        <v>134.5</v>
      </c>
      <c r="H150" s="40">
        <v>139.41999999999999</v>
      </c>
      <c r="I150" s="40">
        <f t="shared" si="20"/>
        <v>4.9199999999999875</v>
      </c>
      <c r="J150" s="42">
        <f t="shared" si="22"/>
        <v>145.55630769230731</v>
      </c>
    </row>
    <row r="151" spans="2:10" x14ac:dyDescent="0.25">
      <c r="B151" s="1">
        <v>1001771</v>
      </c>
      <c r="C151" s="1"/>
      <c r="D151" s="1" t="s">
        <v>83</v>
      </c>
      <c r="E151" s="41">
        <v>21775</v>
      </c>
      <c r="F151" s="40" t="s">
        <v>39</v>
      </c>
      <c r="G151" s="40">
        <v>134.5</v>
      </c>
      <c r="H151" s="40">
        <v>139.41999999999999</v>
      </c>
      <c r="I151" s="40">
        <f t="shared" si="20"/>
        <v>4.9199999999999875</v>
      </c>
      <c r="J151" s="42">
        <f t="shared" si="22"/>
        <v>329.63999999999913</v>
      </c>
    </row>
    <row r="152" spans="2:10" x14ac:dyDescent="0.25">
      <c r="B152" s="1">
        <v>1001929</v>
      </c>
      <c r="C152" s="1"/>
      <c r="D152" s="1" t="s">
        <v>84</v>
      </c>
      <c r="E152" s="41">
        <v>93210</v>
      </c>
      <c r="F152" s="40" t="s">
        <v>39</v>
      </c>
      <c r="G152" s="40">
        <v>134.5</v>
      </c>
      <c r="H152" s="40">
        <v>139.41999999999999</v>
      </c>
      <c r="I152" s="40">
        <f t="shared" si="20"/>
        <v>4.9199999999999875</v>
      </c>
      <c r="J152" s="42">
        <f t="shared" si="22"/>
        <v>1411.0559999999964</v>
      </c>
    </row>
    <row r="153" spans="2:10" x14ac:dyDescent="0.25">
      <c r="B153" s="1">
        <v>1001929</v>
      </c>
      <c r="C153" s="1"/>
      <c r="D153" s="1" t="s">
        <v>84</v>
      </c>
      <c r="E153" s="41">
        <v>50440</v>
      </c>
      <c r="F153" s="40" t="s">
        <v>39</v>
      </c>
      <c r="G153" s="40">
        <v>134.5</v>
      </c>
      <c r="H153" s="40">
        <v>139.41999999999999</v>
      </c>
      <c r="I153" s="40">
        <f t="shared" si="20"/>
        <v>4.9199999999999875</v>
      </c>
      <c r="J153" s="42">
        <f t="shared" si="22"/>
        <v>763.58399999999813</v>
      </c>
    </row>
    <row r="154" spans="2:10" x14ac:dyDescent="0.25">
      <c r="B154" s="1">
        <v>1001929</v>
      </c>
      <c r="C154" s="1"/>
      <c r="D154" s="1" t="s">
        <v>84</v>
      </c>
      <c r="E154" s="41">
        <v>80330</v>
      </c>
      <c r="F154" s="40" t="s">
        <v>39</v>
      </c>
      <c r="G154" s="40">
        <v>134.5</v>
      </c>
      <c r="H154" s="40">
        <v>139.41999999999999</v>
      </c>
      <c r="I154" s="40">
        <f t="shared" si="20"/>
        <v>4.9199999999999875</v>
      </c>
      <c r="J154" s="42">
        <f t="shared" si="22"/>
        <v>1216.0726153846122</v>
      </c>
    </row>
    <row r="155" spans="2:10" x14ac:dyDescent="0.25">
      <c r="B155" s="1">
        <v>1001929</v>
      </c>
      <c r="C155" s="1"/>
      <c r="D155" s="1" t="s">
        <v>84</v>
      </c>
      <c r="E155" s="41">
        <v>92895</v>
      </c>
      <c r="F155" s="40" t="s">
        <v>39</v>
      </c>
      <c r="G155" s="40">
        <v>134.5</v>
      </c>
      <c r="H155" s="40">
        <v>139.41999999999999</v>
      </c>
      <c r="I155" s="40">
        <f t="shared" si="20"/>
        <v>4.9199999999999875</v>
      </c>
      <c r="J155" s="42">
        <f t="shared" si="22"/>
        <v>1406.2873846153811</v>
      </c>
    </row>
    <row r="156" spans="2:10" x14ac:dyDescent="0.25">
      <c r="B156" s="1">
        <v>1001929</v>
      </c>
      <c r="C156" s="1"/>
      <c r="D156" s="1" t="s">
        <v>84</v>
      </c>
      <c r="E156" s="41">
        <v>140400</v>
      </c>
      <c r="F156" s="40" t="s">
        <v>39</v>
      </c>
      <c r="G156" s="40">
        <v>134.5</v>
      </c>
      <c r="H156" s="40">
        <v>139.41999999999999</v>
      </c>
      <c r="I156" s="40">
        <f t="shared" si="20"/>
        <v>4.9199999999999875</v>
      </c>
      <c r="J156" s="42">
        <f t="shared" si="22"/>
        <v>2125.4399999999946</v>
      </c>
    </row>
    <row r="157" spans="2:10" x14ac:dyDescent="0.25">
      <c r="B157" s="1">
        <v>1001932</v>
      </c>
      <c r="C157" s="1"/>
      <c r="D157" s="1" t="s">
        <v>85</v>
      </c>
      <c r="E157" s="41">
        <v>82550</v>
      </c>
      <c r="F157" s="40" t="s">
        <v>39</v>
      </c>
      <c r="G157" s="40">
        <v>161.4</v>
      </c>
      <c r="H157" s="40">
        <v>167.54</v>
      </c>
      <c r="I157" s="40">
        <f t="shared" si="20"/>
        <v>6.1399999999999864</v>
      </c>
      <c r="J157" s="42">
        <f t="shared" si="22"/>
        <v>1559.5599999999965</v>
      </c>
    </row>
    <row r="158" spans="2:10" x14ac:dyDescent="0.25">
      <c r="B158" s="1">
        <v>1001932</v>
      </c>
      <c r="C158" s="1"/>
      <c r="D158" s="1" t="s">
        <v>85</v>
      </c>
      <c r="E158" s="41">
        <v>85800</v>
      </c>
      <c r="F158" s="40" t="s">
        <v>39</v>
      </c>
      <c r="G158" s="40">
        <v>161.4</v>
      </c>
      <c r="H158" s="40">
        <v>167.54</v>
      </c>
      <c r="I158" s="40">
        <f t="shared" si="20"/>
        <v>6.1399999999999864</v>
      </c>
      <c r="J158" s="42">
        <f t="shared" si="22"/>
        <v>1620.9599999999964</v>
      </c>
    </row>
    <row r="159" spans="2:10" x14ac:dyDescent="0.25">
      <c r="B159" s="1">
        <v>1001932</v>
      </c>
      <c r="C159" s="1"/>
      <c r="D159" s="1" t="s">
        <v>85</v>
      </c>
      <c r="E159" s="41">
        <v>82280</v>
      </c>
      <c r="F159" s="40" t="s">
        <v>39</v>
      </c>
      <c r="G159" s="40">
        <v>161.4</v>
      </c>
      <c r="H159" s="40">
        <v>167.54</v>
      </c>
      <c r="I159" s="40">
        <f t="shared" si="20"/>
        <v>6.1399999999999864</v>
      </c>
      <c r="J159" s="42">
        <f t="shared" si="22"/>
        <v>1554.4590769230736</v>
      </c>
    </row>
    <row r="160" spans="2:10" x14ac:dyDescent="0.25">
      <c r="B160" s="1">
        <v>1001932</v>
      </c>
      <c r="C160" s="1"/>
      <c r="D160" s="1" t="s">
        <v>85</v>
      </c>
      <c r="E160" s="41">
        <v>58120</v>
      </c>
      <c r="F160" s="40" t="s">
        <v>39</v>
      </c>
      <c r="G160" s="40">
        <v>161.4</v>
      </c>
      <c r="H160" s="40">
        <v>167.54</v>
      </c>
      <c r="I160" s="40">
        <f t="shared" si="20"/>
        <v>6.1399999999999864</v>
      </c>
      <c r="J160" s="42">
        <f t="shared" si="22"/>
        <v>1098.0209230769208</v>
      </c>
    </row>
    <row r="161" spans="2:10" x14ac:dyDescent="0.25">
      <c r="B161" s="1">
        <v>1001932</v>
      </c>
      <c r="C161" s="1"/>
      <c r="D161" s="1" t="s">
        <v>85</v>
      </c>
      <c r="E161" s="41">
        <v>13000</v>
      </c>
      <c r="F161" s="40" t="s">
        <v>39</v>
      </c>
      <c r="G161" s="40">
        <v>161.4</v>
      </c>
      <c r="H161" s="40">
        <v>167.54</v>
      </c>
      <c r="I161" s="40">
        <f t="shared" si="20"/>
        <v>6.1399999999999864</v>
      </c>
      <c r="J161" s="42">
        <f t="shared" si="22"/>
        <v>245.59999999999945</v>
      </c>
    </row>
    <row r="162" spans="2:10" x14ac:dyDescent="0.25">
      <c r="B162" s="1">
        <v>1001932</v>
      </c>
      <c r="C162" s="1"/>
      <c r="D162" s="1" t="s">
        <v>85</v>
      </c>
      <c r="E162" s="41">
        <v>91000</v>
      </c>
      <c r="F162" s="40" t="s">
        <v>39</v>
      </c>
      <c r="G162" s="40">
        <v>161.4</v>
      </c>
      <c r="H162" s="40">
        <v>167.54</v>
      </c>
      <c r="I162" s="40">
        <f t="shared" si="20"/>
        <v>6.1399999999999864</v>
      </c>
      <c r="J162" s="42">
        <f t="shared" si="22"/>
        <v>1719.199999999996</v>
      </c>
    </row>
    <row r="163" spans="2:10" x14ac:dyDescent="0.25">
      <c r="B163" s="1">
        <v>1001948</v>
      </c>
      <c r="C163" s="1"/>
      <c r="D163" s="1" t="s">
        <v>110</v>
      </c>
      <c r="E163" s="41">
        <v>46870</v>
      </c>
      <c r="F163" s="40" t="s">
        <v>39</v>
      </c>
      <c r="G163" s="40">
        <v>161.4</v>
      </c>
      <c r="H163" s="40">
        <v>167.54</v>
      </c>
      <c r="I163" s="40">
        <f t="shared" si="20"/>
        <v>6.1399999999999864</v>
      </c>
      <c r="J163" s="42">
        <f t="shared" si="22"/>
        <v>885.48246153845957</v>
      </c>
    </row>
    <row r="164" spans="2:10" x14ac:dyDescent="0.25">
      <c r="B164" s="1">
        <v>1001948</v>
      </c>
      <c r="C164" s="1"/>
      <c r="D164" s="1" t="s">
        <v>110</v>
      </c>
      <c r="E164" s="41">
        <v>40880</v>
      </c>
      <c r="F164" s="40" t="s">
        <v>39</v>
      </c>
      <c r="G164" s="40">
        <v>161.4</v>
      </c>
      <c r="H164" s="40">
        <v>167.54</v>
      </c>
      <c r="I164" s="40">
        <f t="shared" si="20"/>
        <v>6.1399999999999864</v>
      </c>
      <c r="J164" s="42">
        <f t="shared" si="22"/>
        <v>772.31753846153674</v>
      </c>
    </row>
    <row r="165" spans="2:10" x14ac:dyDescent="0.25">
      <c r="B165" s="1">
        <v>1002029</v>
      </c>
      <c r="C165" s="1"/>
      <c r="D165" s="1" t="s">
        <v>86</v>
      </c>
      <c r="E165" s="41">
        <v>75400</v>
      </c>
      <c r="F165" s="40" t="s">
        <v>39</v>
      </c>
      <c r="G165" s="40">
        <v>161.4</v>
      </c>
      <c r="H165" s="40">
        <v>167.54</v>
      </c>
      <c r="I165" s="40">
        <f t="shared" si="20"/>
        <v>6.1399999999999864</v>
      </c>
      <c r="J165" s="42">
        <f t="shared" si="22"/>
        <v>1424.4799999999968</v>
      </c>
    </row>
    <row r="166" spans="2:10" x14ac:dyDescent="0.25">
      <c r="B166" s="1">
        <v>1002029</v>
      </c>
      <c r="C166" s="1"/>
      <c r="D166" s="1" t="s">
        <v>86</v>
      </c>
      <c r="E166" s="41">
        <v>13000</v>
      </c>
      <c r="F166" s="40" t="s">
        <v>39</v>
      </c>
      <c r="G166" s="40">
        <v>161.4</v>
      </c>
      <c r="H166" s="40">
        <v>167.54</v>
      </c>
      <c r="I166" s="40">
        <f t="shared" si="20"/>
        <v>6.1399999999999864</v>
      </c>
      <c r="J166" s="42">
        <f t="shared" si="22"/>
        <v>245.59999999999945</v>
      </c>
    </row>
    <row r="167" spans="2:10" x14ac:dyDescent="0.25">
      <c r="B167" s="1">
        <v>1002029</v>
      </c>
      <c r="C167" s="1"/>
      <c r="D167" s="1" t="s">
        <v>86</v>
      </c>
      <c r="E167" s="41">
        <v>32500</v>
      </c>
      <c r="F167" s="40" t="s">
        <v>39</v>
      </c>
      <c r="G167" s="40">
        <v>161.4</v>
      </c>
      <c r="H167" s="40">
        <v>167.54</v>
      </c>
      <c r="I167" s="40">
        <f t="shared" si="20"/>
        <v>6.1399999999999864</v>
      </c>
      <c r="J167" s="42">
        <f t="shared" si="22"/>
        <v>613.99999999999864</v>
      </c>
    </row>
    <row r="168" spans="2:10" x14ac:dyDescent="0.25">
      <c r="B168" s="1">
        <v>1002029</v>
      </c>
      <c r="C168" s="1"/>
      <c r="D168" s="1" t="s">
        <v>86</v>
      </c>
      <c r="E168" s="41">
        <v>39650</v>
      </c>
      <c r="F168" s="40" t="s">
        <v>39</v>
      </c>
      <c r="G168" s="40">
        <v>161.4</v>
      </c>
      <c r="H168" s="40">
        <v>167.54</v>
      </c>
      <c r="I168" s="40">
        <f t="shared" si="20"/>
        <v>6.1399999999999864</v>
      </c>
      <c r="J168" s="42">
        <f t="shared" si="22"/>
        <v>749.07999999999834</v>
      </c>
    </row>
    <row r="169" spans="2:10" x14ac:dyDescent="0.25">
      <c r="B169" s="1">
        <v>1002029</v>
      </c>
      <c r="C169" s="1"/>
      <c r="D169" s="1" t="s">
        <v>86</v>
      </c>
      <c r="E169" s="41">
        <v>45670</v>
      </c>
      <c r="F169" s="40" t="s">
        <v>39</v>
      </c>
      <c r="G169" s="40">
        <v>161.4</v>
      </c>
      <c r="H169" s="40">
        <v>167.54</v>
      </c>
      <c r="I169" s="40">
        <f t="shared" si="20"/>
        <v>6.1399999999999864</v>
      </c>
      <c r="J169" s="42">
        <f t="shared" si="22"/>
        <v>862.81169230769035</v>
      </c>
    </row>
    <row r="170" spans="2:10" x14ac:dyDescent="0.25">
      <c r="B170" s="1">
        <v>1002029</v>
      </c>
      <c r="C170" s="1"/>
      <c r="D170" s="1" t="s">
        <v>86</v>
      </c>
      <c r="E170" s="41">
        <v>27455</v>
      </c>
      <c r="F170" s="40" t="s">
        <v>39</v>
      </c>
      <c r="G170" s="40">
        <v>161.4</v>
      </c>
      <c r="H170" s="40">
        <v>167.54</v>
      </c>
      <c r="I170" s="40">
        <f t="shared" si="20"/>
        <v>6.1399999999999864</v>
      </c>
      <c r="J170" s="42">
        <f t="shared" si="22"/>
        <v>518.68830769230658</v>
      </c>
    </row>
    <row r="171" spans="2:10" x14ac:dyDescent="0.25">
      <c r="B171" s="1">
        <v>1002351</v>
      </c>
      <c r="C171" s="1"/>
      <c r="D171" s="1" t="s">
        <v>109</v>
      </c>
      <c r="E171" s="41">
        <v>13000</v>
      </c>
      <c r="F171" s="40" t="s">
        <v>39</v>
      </c>
      <c r="G171" s="40">
        <v>41.3</v>
      </c>
      <c r="H171" s="40">
        <v>43.38</v>
      </c>
      <c r="I171" s="40">
        <f t="shared" si="20"/>
        <v>2.0800000000000054</v>
      </c>
      <c r="J171" s="42">
        <f>I171*E171/130</f>
        <v>208.00000000000054</v>
      </c>
    </row>
    <row r="172" spans="2:10" x14ac:dyDescent="0.25">
      <c r="B172" s="1">
        <v>1002367</v>
      </c>
      <c r="C172" s="1"/>
      <c r="D172" s="1" t="s">
        <v>124</v>
      </c>
      <c r="E172" s="41">
        <v>24700</v>
      </c>
      <c r="F172" s="40" t="s">
        <v>39</v>
      </c>
      <c r="G172" s="40">
        <v>41.3</v>
      </c>
      <c r="H172" s="40">
        <v>43.38</v>
      </c>
      <c r="I172" s="40">
        <f t="shared" si="20"/>
        <v>2.0800000000000054</v>
      </c>
      <c r="J172" s="42">
        <f>I172*E172/130</f>
        <v>395.20000000000101</v>
      </c>
    </row>
    <row r="173" spans="2:10" x14ac:dyDescent="0.25">
      <c r="B173" s="1">
        <v>1002367</v>
      </c>
      <c r="C173" s="1"/>
      <c r="D173" s="1" t="s">
        <v>124</v>
      </c>
      <c r="E173" s="41">
        <v>7800</v>
      </c>
      <c r="F173" s="40" t="s">
        <v>39</v>
      </c>
      <c r="G173" s="40">
        <v>41.3</v>
      </c>
      <c r="H173" s="40">
        <v>43.38</v>
      </c>
      <c r="I173" s="40">
        <f t="shared" si="20"/>
        <v>2.0800000000000054</v>
      </c>
      <c r="J173" s="42">
        <f>I173*E173/130</f>
        <v>124.80000000000032</v>
      </c>
    </row>
    <row r="174" spans="2:10" x14ac:dyDescent="0.25">
      <c r="B174" s="1">
        <v>1002449</v>
      </c>
      <c r="C174" s="1"/>
      <c r="D174" s="1" t="s">
        <v>125</v>
      </c>
      <c r="E174" s="41">
        <v>12870</v>
      </c>
      <c r="F174" s="40" t="s">
        <v>39</v>
      </c>
      <c r="G174" s="40">
        <v>41.3</v>
      </c>
      <c r="H174" s="40">
        <v>43.38</v>
      </c>
      <c r="I174" s="40">
        <f t="shared" si="20"/>
        <v>2.0800000000000054</v>
      </c>
      <c r="J174" s="42">
        <f>I174*E174/130</f>
        <v>205.92000000000056</v>
      </c>
    </row>
    <row r="175" spans="2:10" x14ac:dyDescent="0.25">
      <c r="B175" s="1">
        <v>1002691</v>
      </c>
      <c r="C175" s="1"/>
      <c r="D175" s="1" t="s">
        <v>126</v>
      </c>
      <c r="E175" s="41">
        <v>32500</v>
      </c>
      <c r="F175" s="40" t="s">
        <v>39</v>
      </c>
      <c r="G175" s="40">
        <v>161.4</v>
      </c>
      <c r="H175" s="40">
        <v>167.54</v>
      </c>
      <c r="I175" s="40">
        <f>H175-G175</f>
        <v>6.1399999999999864</v>
      </c>
      <c r="J175" s="42">
        <f>I175*E175/325</f>
        <v>613.99999999999864</v>
      </c>
    </row>
    <row r="176" spans="2:10" x14ac:dyDescent="0.25">
      <c r="B176" s="1"/>
      <c r="C176" s="1"/>
      <c r="D176" s="1"/>
      <c r="E176" s="5">
        <f>SUM(E129:E174)</f>
        <v>2395705</v>
      </c>
      <c r="F176" s="40"/>
      <c r="G176" s="40"/>
      <c r="H176" s="40"/>
      <c r="I176" s="40" t="s">
        <v>21</v>
      </c>
      <c r="J176" s="43">
        <f>SUM(J129:J174)</f>
        <v>39477.859999999928</v>
      </c>
    </row>
    <row r="179" spans="2:13" x14ac:dyDescent="0.25">
      <c r="B179" s="1" t="s">
        <v>87</v>
      </c>
      <c r="C179" s="1"/>
      <c r="D179" s="1"/>
      <c r="E179" s="1" t="s">
        <v>38</v>
      </c>
      <c r="F179" s="1"/>
      <c r="G179" s="1" t="s">
        <v>50</v>
      </c>
      <c r="H179" s="5" t="s">
        <v>72</v>
      </c>
      <c r="I179" s="1" t="s">
        <v>52</v>
      </c>
      <c r="J179" s="5" t="s">
        <v>21</v>
      </c>
      <c r="K179" s="45" t="s">
        <v>241</v>
      </c>
      <c r="L179" s="44" t="s">
        <v>242</v>
      </c>
    </row>
    <row r="180" spans="2:13" x14ac:dyDescent="0.25">
      <c r="B180" s="1"/>
      <c r="C180" s="1"/>
      <c r="D180" s="1"/>
      <c r="E180" s="1"/>
      <c r="F180" s="1"/>
      <c r="G180" s="1"/>
      <c r="H180" s="5"/>
      <c r="I180" s="1"/>
      <c r="J180" s="5"/>
    </row>
    <row r="181" spans="2:13" x14ac:dyDescent="0.25">
      <c r="B181" s="1">
        <v>1000538</v>
      </c>
      <c r="C181" s="1"/>
      <c r="D181" s="1" t="s">
        <v>88</v>
      </c>
      <c r="E181" s="1">
        <v>92</v>
      </c>
      <c r="F181" s="1" t="s">
        <v>23</v>
      </c>
      <c r="G181" s="1">
        <v>72.5</v>
      </c>
      <c r="H181" s="5">
        <v>73.900000000000006</v>
      </c>
      <c r="I181" s="1">
        <f t="shared" ref="I181:I195" si="23">H181-G181</f>
        <v>1.4000000000000057</v>
      </c>
      <c r="J181" s="5">
        <f t="shared" ref="J181:J195" si="24">I181*E181</f>
        <v>128.80000000000052</v>
      </c>
      <c r="K181" s="46">
        <v>73.36</v>
      </c>
      <c r="L181" s="1">
        <f>K181-G181</f>
        <v>0.85999999999999943</v>
      </c>
      <c r="M181" s="12">
        <f>E181*L181</f>
        <v>79.119999999999948</v>
      </c>
    </row>
    <row r="182" spans="2:13" x14ac:dyDescent="0.25">
      <c r="B182" s="1">
        <v>1000538</v>
      </c>
      <c r="C182" s="1"/>
      <c r="D182" s="1" t="s">
        <v>88</v>
      </c>
      <c r="E182" s="2">
        <v>1100</v>
      </c>
      <c r="F182" s="1" t="s">
        <v>23</v>
      </c>
      <c r="G182" s="1">
        <v>72.5</v>
      </c>
      <c r="H182" s="5">
        <v>73.900000000000006</v>
      </c>
      <c r="I182" s="1">
        <f t="shared" si="23"/>
        <v>1.4000000000000057</v>
      </c>
      <c r="J182" s="5">
        <f t="shared" si="24"/>
        <v>1540.0000000000064</v>
      </c>
      <c r="K182" s="46">
        <v>73.36</v>
      </c>
      <c r="L182" s="1">
        <f t="shared" ref="L182:L195" si="25">K182-G182</f>
        <v>0.85999999999999943</v>
      </c>
      <c r="M182" s="12">
        <f t="shared" ref="M182:M195" si="26">E182*L182</f>
        <v>945.99999999999932</v>
      </c>
    </row>
    <row r="183" spans="2:13" x14ac:dyDescent="0.25">
      <c r="B183" s="1">
        <v>1000834</v>
      </c>
      <c r="C183" s="1"/>
      <c r="D183" s="1" t="s">
        <v>92</v>
      </c>
      <c r="E183" s="1">
        <v>300</v>
      </c>
      <c r="F183" s="1" t="s">
        <v>23</v>
      </c>
      <c r="G183" s="1">
        <v>76.25</v>
      </c>
      <c r="H183" s="5">
        <v>78.31</v>
      </c>
      <c r="I183" s="4">
        <f t="shared" si="23"/>
        <v>2.0600000000000023</v>
      </c>
      <c r="J183" s="5">
        <f t="shared" si="24"/>
        <v>618.00000000000068</v>
      </c>
      <c r="K183" s="46">
        <v>77.55</v>
      </c>
      <c r="L183" s="1">
        <f t="shared" si="25"/>
        <v>1.2999999999999972</v>
      </c>
      <c r="M183" s="12">
        <f t="shared" si="26"/>
        <v>389.99999999999915</v>
      </c>
    </row>
    <row r="184" spans="2:13" x14ac:dyDescent="0.25">
      <c r="B184" s="1">
        <v>1000834</v>
      </c>
      <c r="C184" s="1"/>
      <c r="D184" s="1" t="s">
        <v>92</v>
      </c>
      <c r="E184" s="1">
        <v>300</v>
      </c>
      <c r="F184" s="1" t="s">
        <v>23</v>
      </c>
      <c r="G184" s="1">
        <v>76.25</v>
      </c>
      <c r="H184" s="5">
        <v>78.31</v>
      </c>
      <c r="I184" s="4">
        <f t="shared" si="23"/>
        <v>2.0600000000000023</v>
      </c>
      <c r="J184" s="5">
        <f t="shared" si="24"/>
        <v>618.00000000000068</v>
      </c>
      <c r="K184" s="46">
        <v>77.55</v>
      </c>
      <c r="L184" s="1">
        <f t="shared" si="25"/>
        <v>1.2999999999999972</v>
      </c>
      <c r="M184" s="12">
        <f t="shared" si="26"/>
        <v>389.99999999999915</v>
      </c>
    </row>
    <row r="185" spans="2:13" x14ac:dyDescent="0.25">
      <c r="B185" s="1">
        <v>1001263</v>
      </c>
      <c r="C185" s="1"/>
      <c r="D185" s="1" t="s">
        <v>108</v>
      </c>
      <c r="E185" s="3">
        <v>1602.22</v>
      </c>
      <c r="F185" s="1" t="s">
        <v>23</v>
      </c>
      <c r="G185" s="1">
        <v>72.5</v>
      </c>
      <c r="H185" s="5">
        <v>73.900000000000006</v>
      </c>
      <c r="I185" s="1">
        <f t="shared" si="23"/>
        <v>1.4000000000000057</v>
      </c>
      <c r="J185" s="5">
        <f t="shared" si="24"/>
        <v>2243.1080000000093</v>
      </c>
      <c r="K185" s="46">
        <v>73.36</v>
      </c>
      <c r="L185" s="1">
        <f t="shared" si="25"/>
        <v>0.85999999999999943</v>
      </c>
      <c r="M185" s="12">
        <f t="shared" si="26"/>
        <v>1377.9091999999991</v>
      </c>
    </row>
    <row r="186" spans="2:13" x14ac:dyDescent="0.25">
      <c r="B186" s="1">
        <v>1001263</v>
      </c>
      <c r="C186" s="1"/>
      <c r="D186" s="1" t="s">
        <v>108</v>
      </c>
      <c r="E186" s="1">
        <v>156.41</v>
      </c>
      <c r="F186" s="1" t="s">
        <v>23</v>
      </c>
      <c r="G186" s="1">
        <v>72.5</v>
      </c>
      <c r="H186" s="5">
        <v>73.900000000000006</v>
      </c>
      <c r="I186" s="1">
        <f t="shared" si="23"/>
        <v>1.4000000000000057</v>
      </c>
      <c r="J186" s="5">
        <f t="shared" si="24"/>
        <v>218.97400000000087</v>
      </c>
      <c r="K186" s="46">
        <v>73.36</v>
      </c>
      <c r="L186" s="1">
        <f t="shared" si="25"/>
        <v>0.85999999999999943</v>
      </c>
      <c r="M186" s="12">
        <f t="shared" si="26"/>
        <v>134.51259999999991</v>
      </c>
    </row>
    <row r="187" spans="2:13" x14ac:dyDescent="0.25">
      <c r="B187" s="1">
        <v>1001263</v>
      </c>
      <c r="C187" s="1"/>
      <c r="D187" s="1" t="s">
        <v>108</v>
      </c>
      <c r="E187" s="1">
        <v>370.59</v>
      </c>
      <c r="F187" s="1" t="s">
        <v>23</v>
      </c>
      <c r="G187" s="1">
        <v>72.5</v>
      </c>
      <c r="H187" s="5">
        <v>73.900000000000006</v>
      </c>
      <c r="I187" s="1">
        <f t="shared" si="23"/>
        <v>1.4000000000000057</v>
      </c>
      <c r="J187" s="5">
        <f t="shared" si="24"/>
        <v>518.82600000000207</v>
      </c>
      <c r="K187" s="46">
        <v>73.36</v>
      </c>
      <c r="L187" s="1">
        <f t="shared" si="25"/>
        <v>0.85999999999999943</v>
      </c>
      <c r="M187" s="12">
        <f t="shared" si="26"/>
        <v>318.70739999999978</v>
      </c>
    </row>
    <row r="188" spans="2:13" x14ac:dyDescent="0.25">
      <c r="B188" s="1">
        <v>1001401</v>
      </c>
      <c r="C188" s="1"/>
      <c r="D188" s="1" t="s">
        <v>89</v>
      </c>
      <c r="E188" s="3">
        <v>1182.79</v>
      </c>
      <c r="F188" s="1" t="s">
        <v>23</v>
      </c>
      <c r="G188" s="1">
        <v>72.5</v>
      </c>
      <c r="H188" s="5">
        <v>73.900000000000006</v>
      </c>
      <c r="I188" s="1">
        <f t="shared" si="23"/>
        <v>1.4000000000000057</v>
      </c>
      <c r="J188" s="5">
        <f t="shared" si="24"/>
        <v>1655.9060000000068</v>
      </c>
      <c r="K188" s="46">
        <v>73.36</v>
      </c>
      <c r="L188" s="1">
        <f t="shared" si="25"/>
        <v>0.85999999999999943</v>
      </c>
      <c r="M188" s="12">
        <f t="shared" si="26"/>
        <v>1017.1993999999993</v>
      </c>
    </row>
    <row r="189" spans="2:13" x14ac:dyDescent="0.25">
      <c r="B189" s="1">
        <v>1001401</v>
      </c>
      <c r="C189" s="1"/>
      <c r="D189" s="1" t="s">
        <v>89</v>
      </c>
      <c r="E189" s="3">
        <v>1220.32</v>
      </c>
      <c r="F189" s="1" t="s">
        <v>23</v>
      </c>
      <c r="G189" s="1">
        <v>72.5</v>
      </c>
      <c r="H189" s="5">
        <v>73.900000000000006</v>
      </c>
      <c r="I189" s="1">
        <f t="shared" si="23"/>
        <v>1.4000000000000057</v>
      </c>
      <c r="J189" s="5">
        <f t="shared" si="24"/>
        <v>1708.4480000000069</v>
      </c>
      <c r="K189" s="46">
        <v>73.36</v>
      </c>
      <c r="L189" s="1">
        <f t="shared" si="25"/>
        <v>0.85999999999999943</v>
      </c>
      <c r="M189" s="12">
        <f t="shared" si="26"/>
        <v>1049.4751999999992</v>
      </c>
    </row>
    <row r="190" spans="2:13" x14ac:dyDescent="0.25">
      <c r="B190" s="1">
        <v>1001401</v>
      </c>
      <c r="C190" s="1"/>
      <c r="D190" s="1" t="s">
        <v>89</v>
      </c>
      <c r="E190" s="1">
        <v>981</v>
      </c>
      <c r="F190" s="1" t="s">
        <v>23</v>
      </c>
      <c r="G190" s="1">
        <v>72.5</v>
      </c>
      <c r="H190" s="5">
        <v>73.900000000000006</v>
      </c>
      <c r="I190" s="1">
        <f t="shared" si="23"/>
        <v>1.4000000000000057</v>
      </c>
      <c r="J190" s="5">
        <f t="shared" si="24"/>
        <v>1373.4000000000055</v>
      </c>
      <c r="K190" s="46">
        <v>73.36</v>
      </c>
      <c r="L190" s="1">
        <f t="shared" si="25"/>
        <v>0.85999999999999943</v>
      </c>
      <c r="M190" s="12">
        <f t="shared" si="26"/>
        <v>843.6599999999994</v>
      </c>
    </row>
    <row r="191" spans="2:13" x14ac:dyDescent="0.25">
      <c r="B191" s="1">
        <v>1001886</v>
      </c>
      <c r="C191" s="1"/>
      <c r="D191" s="1" t="s">
        <v>90</v>
      </c>
      <c r="E191" s="1">
        <v>506</v>
      </c>
      <c r="F191" s="1" t="s">
        <v>23</v>
      </c>
      <c r="G191" s="1">
        <v>72</v>
      </c>
      <c r="H191" s="5">
        <v>73.45</v>
      </c>
      <c r="I191" s="4">
        <f t="shared" si="23"/>
        <v>1.4500000000000028</v>
      </c>
      <c r="J191" s="5">
        <f t="shared" si="24"/>
        <v>733.70000000000141</v>
      </c>
      <c r="K191" s="46">
        <v>72.77</v>
      </c>
      <c r="L191" s="1">
        <f t="shared" si="25"/>
        <v>0.76999999999999602</v>
      </c>
      <c r="M191" s="12">
        <f t="shared" si="26"/>
        <v>389.61999999999796</v>
      </c>
    </row>
    <row r="192" spans="2:13" x14ac:dyDescent="0.25">
      <c r="B192" s="1">
        <v>1001934</v>
      </c>
      <c r="C192" s="1"/>
      <c r="D192" s="1" t="s">
        <v>91</v>
      </c>
      <c r="E192" s="1">
        <v>218.93</v>
      </c>
      <c r="F192" s="1" t="s">
        <v>23</v>
      </c>
      <c r="G192" s="1">
        <v>72</v>
      </c>
      <c r="H192" s="5">
        <v>73.45</v>
      </c>
      <c r="I192" s="4">
        <f t="shared" si="23"/>
        <v>1.4500000000000028</v>
      </c>
      <c r="J192" s="5">
        <f t="shared" si="24"/>
        <v>317.44850000000065</v>
      </c>
      <c r="K192" s="46">
        <v>72.77</v>
      </c>
      <c r="L192" s="1">
        <f t="shared" si="25"/>
        <v>0.76999999999999602</v>
      </c>
      <c r="M192" s="12">
        <f t="shared" si="26"/>
        <v>168.57609999999914</v>
      </c>
    </row>
    <row r="193" spans="2:13" x14ac:dyDescent="0.25">
      <c r="B193" s="1">
        <v>1001934</v>
      </c>
      <c r="C193" s="1"/>
      <c r="D193" s="1" t="s">
        <v>91</v>
      </c>
      <c r="E193" s="2">
        <v>1100</v>
      </c>
      <c r="F193" s="1" t="s">
        <v>23</v>
      </c>
      <c r="G193" s="1">
        <v>72</v>
      </c>
      <c r="H193" s="5">
        <v>73.45</v>
      </c>
      <c r="I193" s="4">
        <f t="shared" si="23"/>
        <v>1.4500000000000028</v>
      </c>
      <c r="J193" s="5">
        <f t="shared" si="24"/>
        <v>1595.0000000000032</v>
      </c>
      <c r="K193" s="46">
        <v>72.77</v>
      </c>
      <c r="L193" s="1">
        <f t="shared" si="25"/>
        <v>0.76999999999999602</v>
      </c>
      <c r="M193" s="12">
        <f t="shared" si="26"/>
        <v>846.99999999999568</v>
      </c>
    </row>
    <row r="194" spans="2:13" x14ac:dyDescent="0.25">
      <c r="B194" s="1">
        <v>1001934</v>
      </c>
      <c r="C194" s="1"/>
      <c r="D194" s="1" t="s">
        <v>91</v>
      </c>
      <c r="E194" s="1">
        <v>218.93</v>
      </c>
      <c r="F194" s="1" t="s">
        <v>23</v>
      </c>
      <c r="G194" s="1">
        <v>72</v>
      </c>
      <c r="H194" s="5">
        <v>73.45</v>
      </c>
      <c r="I194" s="4">
        <f t="shared" si="23"/>
        <v>1.4500000000000028</v>
      </c>
      <c r="J194" s="5">
        <f t="shared" si="24"/>
        <v>317.44850000000065</v>
      </c>
      <c r="K194" s="46">
        <v>72.77</v>
      </c>
      <c r="L194" s="1">
        <f t="shared" si="25"/>
        <v>0.76999999999999602</v>
      </c>
      <c r="M194" s="12">
        <f t="shared" si="26"/>
        <v>168.57609999999914</v>
      </c>
    </row>
    <row r="195" spans="2:13" x14ac:dyDescent="0.25">
      <c r="B195" s="1">
        <v>1001934</v>
      </c>
      <c r="C195" s="1"/>
      <c r="D195" s="1" t="s">
        <v>91</v>
      </c>
      <c r="E195" s="2">
        <v>1100</v>
      </c>
      <c r="F195" s="1" t="s">
        <v>23</v>
      </c>
      <c r="G195" s="1">
        <v>72</v>
      </c>
      <c r="H195" s="5">
        <v>73.45</v>
      </c>
      <c r="I195" s="4">
        <f t="shared" si="23"/>
        <v>1.4500000000000028</v>
      </c>
      <c r="J195" s="5">
        <f t="shared" si="24"/>
        <v>1595.0000000000032</v>
      </c>
      <c r="K195" s="46">
        <v>72.77</v>
      </c>
      <c r="L195" s="1">
        <f t="shared" si="25"/>
        <v>0.76999999999999602</v>
      </c>
      <c r="M195" s="12">
        <f t="shared" si="26"/>
        <v>846.99999999999568</v>
      </c>
    </row>
    <row r="196" spans="2:13" x14ac:dyDescent="0.25">
      <c r="B196" s="1"/>
      <c r="C196" s="1"/>
      <c r="D196" s="1"/>
      <c r="E196" s="5">
        <f>SUM(E181:E195)</f>
        <v>10449.19</v>
      </c>
      <c r="F196" s="1"/>
      <c r="G196" s="1"/>
      <c r="H196" s="1"/>
      <c r="I196" s="1"/>
      <c r="J196" s="34">
        <f>SUM(J181:J195)</f>
        <v>15182.059000000048</v>
      </c>
      <c r="L196" s="1"/>
      <c r="M196" s="12">
        <f>SUM(M181:M195)</f>
        <v>8967.3559999999816</v>
      </c>
    </row>
    <row r="198" spans="2:13" x14ac:dyDescent="0.25">
      <c r="E198" s="6"/>
    </row>
    <row r="199" spans="2:13" x14ac:dyDescent="0.25">
      <c r="B199" s="1" t="s">
        <v>154</v>
      </c>
      <c r="C199" s="1"/>
      <c r="D199" s="1"/>
      <c r="E199" s="1"/>
      <c r="F199" s="1"/>
      <c r="G199" s="1"/>
      <c r="H199" s="5" t="s">
        <v>153</v>
      </c>
      <c r="I199" s="1"/>
      <c r="J199" s="1"/>
    </row>
    <row r="200" spans="2:13" x14ac:dyDescent="0.25">
      <c r="B200" s="1">
        <v>1000530</v>
      </c>
      <c r="C200" s="1"/>
      <c r="D200" s="1" t="s">
        <v>155</v>
      </c>
      <c r="E200" s="1">
        <v>380</v>
      </c>
      <c r="F200" s="1" t="s">
        <v>23</v>
      </c>
      <c r="G200" s="1">
        <v>73.900000000000006</v>
      </c>
      <c r="H200" s="1">
        <v>74.849999999999994</v>
      </c>
      <c r="I200" s="1">
        <f>H200-G200</f>
        <v>0.94999999999998863</v>
      </c>
      <c r="J200" s="1">
        <f>I200*E200</f>
        <v>360.99999999999568</v>
      </c>
    </row>
    <row r="201" spans="2:13" x14ac:dyDescent="0.25">
      <c r="B201" s="1">
        <v>1000530</v>
      </c>
      <c r="C201" s="1"/>
      <c r="D201" s="1" t="s">
        <v>155</v>
      </c>
      <c r="E201" s="1">
        <v>7.9</v>
      </c>
      <c r="F201" s="1" t="s">
        <v>23</v>
      </c>
      <c r="G201" s="1">
        <v>73.900000000000006</v>
      </c>
      <c r="H201" s="1">
        <v>74.849999999999994</v>
      </c>
      <c r="I201" s="1">
        <f t="shared" ref="I201:I214" si="27">H201-G201</f>
        <v>0.94999999999998863</v>
      </c>
      <c r="J201" s="1">
        <f t="shared" ref="J201:J214" si="28">I201*E201</f>
        <v>7.5049999999999102</v>
      </c>
    </row>
    <row r="202" spans="2:13" x14ac:dyDescent="0.25">
      <c r="B202" s="1">
        <v>1000536</v>
      </c>
      <c r="C202" s="1"/>
      <c r="D202" s="1" t="s">
        <v>156</v>
      </c>
      <c r="E202" s="3">
        <v>1250.5</v>
      </c>
      <c r="F202" s="1" t="s">
        <v>23</v>
      </c>
      <c r="G202" s="1">
        <v>74.75</v>
      </c>
      <c r="H202" s="1">
        <v>75.95</v>
      </c>
      <c r="I202" s="1">
        <f t="shared" si="27"/>
        <v>1.2000000000000028</v>
      </c>
      <c r="J202" s="1">
        <f t="shared" si="28"/>
        <v>1500.6000000000035</v>
      </c>
    </row>
    <row r="203" spans="2:13" x14ac:dyDescent="0.25">
      <c r="B203" s="1">
        <v>1000538</v>
      </c>
      <c r="C203" s="1"/>
      <c r="D203" s="1" t="s">
        <v>88</v>
      </c>
      <c r="E203" s="3">
        <v>1416.1</v>
      </c>
      <c r="F203" s="1" t="s">
        <v>23</v>
      </c>
      <c r="G203" s="1">
        <v>73.900000000000006</v>
      </c>
      <c r="H203" s="1">
        <v>74.849999999999994</v>
      </c>
      <c r="I203" s="1">
        <f t="shared" si="27"/>
        <v>0.94999999999998863</v>
      </c>
      <c r="J203" s="1">
        <f t="shared" si="28"/>
        <v>1345.2949999999837</v>
      </c>
    </row>
    <row r="204" spans="2:13" x14ac:dyDescent="0.25">
      <c r="B204" s="1">
        <v>1000538</v>
      </c>
      <c r="C204" s="1"/>
      <c r="D204" s="1" t="s">
        <v>88</v>
      </c>
      <c r="E204" s="1">
        <v>296.39999999999998</v>
      </c>
      <c r="F204" s="1" t="s">
        <v>23</v>
      </c>
      <c r="G204" s="1">
        <v>73.900000000000006</v>
      </c>
      <c r="H204" s="1">
        <v>74.849999999999994</v>
      </c>
      <c r="I204" s="1">
        <f t="shared" si="27"/>
        <v>0.94999999999998863</v>
      </c>
      <c r="J204" s="1">
        <f t="shared" si="28"/>
        <v>281.57999999999663</v>
      </c>
    </row>
    <row r="205" spans="2:13" x14ac:dyDescent="0.25">
      <c r="B205" s="1">
        <v>1001181</v>
      </c>
      <c r="C205" s="1"/>
      <c r="D205" s="1" t="s">
        <v>157</v>
      </c>
      <c r="E205" s="3">
        <v>1208.2</v>
      </c>
      <c r="F205" s="1" t="s">
        <v>23</v>
      </c>
      <c r="G205" s="1">
        <v>74.75</v>
      </c>
      <c r="H205" s="1">
        <v>75.95</v>
      </c>
      <c r="I205" s="1">
        <f t="shared" si="27"/>
        <v>1.2000000000000028</v>
      </c>
      <c r="J205" s="1">
        <f t="shared" si="28"/>
        <v>1449.8400000000036</v>
      </c>
    </row>
    <row r="206" spans="2:13" x14ac:dyDescent="0.25">
      <c r="B206" s="1">
        <v>1001263</v>
      </c>
      <c r="C206" s="1"/>
      <c r="D206" s="1" t="s">
        <v>108</v>
      </c>
      <c r="E206" s="3">
        <v>1558.6</v>
      </c>
      <c r="F206" s="1" t="s">
        <v>23</v>
      </c>
      <c r="G206" s="1">
        <v>73.900000000000006</v>
      </c>
      <c r="H206" s="1">
        <v>74.849999999999994</v>
      </c>
      <c r="I206" s="1">
        <f t="shared" si="27"/>
        <v>0.94999999999998863</v>
      </c>
      <c r="J206" s="1">
        <f t="shared" si="28"/>
        <v>1480.6699999999821</v>
      </c>
    </row>
    <row r="207" spans="2:13" x14ac:dyDescent="0.25">
      <c r="B207" s="1">
        <v>1001401</v>
      </c>
      <c r="C207" s="1"/>
      <c r="D207" s="1" t="s">
        <v>89</v>
      </c>
      <c r="E207" s="3">
        <v>2918.6</v>
      </c>
      <c r="F207" s="1" t="s">
        <v>23</v>
      </c>
      <c r="G207" s="1">
        <v>73.900000000000006</v>
      </c>
      <c r="H207" s="1">
        <v>74.849999999999994</v>
      </c>
      <c r="I207" s="1">
        <f t="shared" si="27"/>
        <v>0.94999999999998863</v>
      </c>
      <c r="J207" s="1">
        <f t="shared" si="28"/>
        <v>2772.6699999999669</v>
      </c>
    </row>
    <row r="208" spans="2:13" x14ac:dyDescent="0.25">
      <c r="B208" s="1">
        <v>1001401</v>
      </c>
      <c r="C208" s="1"/>
      <c r="D208" s="1" t="s">
        <v>89</v>
      </c>
      <c r="E208" s="1">
        <v>974.6</v>
      </c>
      <c r="F208" s="1" t="s">
        <v>23</v>
      </c>
      <c r="G208" s="1">
        <v>73.900000000000006</v>
      </c>
      <c r="H208" s="1">
        <v>74.849999999999994</v>
      </c>
      <c r="I208" s="1">
        <f t="shared" si="27"/>
        <v>0.94999999999998863</v>
      </c>
      <c r="J208" s="1">
        <f t="shared" si="28"/>
        <v>925.86999999998898</v>
      </c>
    </row>
    <row r="209" spans="1:10" x14ac:dyDescent="0.25">
      <c r="B209" s="1">
        <v>1001816</v>
      </c>
      <c r="C209" s="1"/>
      <c r="D209" s="1" t="s">
        <v>158</v>
      </c>
      <c r="E209" s="3">
        <v>1821.3</v>
      </c>
      <c r="F209" s="1" t="s">
        <v>23</v>
      </c>
      <c r="G209" s="1">
        <v>73.45</v>
      </c>
      <c r="H209" s="1">
        <v>74.3</v>
      </c>
      <c r="I209" s="1">
        <f t="shared" si="27"/>
        <v>0.84999999999999432</v>
      </c>
      <c r="J209" s="1">
        <f t="shared" si="28"/>
        <v>1548.1049999999896</v>
      </c>
    </row>
    <row r="210" spans="1:10" x14ac:dyDescent="0.25">
      <c r="B210" s="1">
        <v>1001934</v>
      </c>
      <c r="C210" s="1"/>
      <c r="D210" s="1" t="s">
        <v>91</v>
      </c>
      <c r="E210" s="3">
        <v>2007.4</v>
      </c>
      <c r="F210" s="1" t="s">
        <v>23</v>
      </c>
      <c r="G210" s="1">
        <v>73.45</v>
      </c>
      <c r="H210" s="1">
        <v>74.3</v>
      </c>
      <c r="I210" s="1">
        <f t="shared" si="27"/>
        <v>0.84999999999999432</v>
      </c>
      <c r="J210" s="1">
        <f t="shared" si="28"/>
        <v>1706.2899999999886</v>
      </c>
    </row>
    <row r="211" spans="1:10" x14ac:dyDescent="0.25">
      <c r="B211" s="1">
        <v>1002060</v>
      </c>
      <c r="C211" s="1"/>
      <c r="D211" s="1" t="s">
        <v>159</v>
      </c>
      <c r="E211" s="1">
        <v>495.2</v>
      </c>
      <c r="F211" s="1" t="s">
        <v>23</v>
      </c>
      <c r="G211" s="1">
        <v>72.55</v>
      </c>
      <c r="H211" s="1">
        <v>73.2</v>
      </c>
      <c r="I211" s="1">
        <f t="shared" si="27"/>
        <v>0.65000000000000568</v>
      </c>
      <c r="J211" s="1">
        <f t="shared" si="28"/>
        <v>321.88000000000278</v>
      </c>
    </row>
    <row r="212" spans="1:10" x14ac:dyDescent="0.25">
      <c r="B212" s="1">
        <v>1002060</v>
      </c>
      <c r="C212" s="1"/>
      <c r="D212" s="1" t="s">
        <v>159</v>
      </c>
      <c r="E212" s="1">
        <v>501.1</v>
      </c>
      <c r="F212" s="1" t="s">
        <v>23</v>
      </c>
      <c r="G212" s="1">
        <v>72.55</v>
      </c>
      <c r="H212" s="1">
        <v>73.2</v>
      </c>
      <c r="I212" s="1">
        <f t="shared" si="27"/>
        <v>0.65000000000000568</v>
      </c>
      <c r="J212" s="1">
        <f t="shared" si="28"/>
        <v>325.71500000000287</v>
      </c>
    </row>
    <row r="213" spans="1:10" x14ac:dyDescent="0.25">
      <c r="B213" s="1">
        <v>1002709</v>
      </c>
      <c r="C213" s="1"/>
      <c r="D213" s="1" t="s">
        <v>160</v>
      </c>
      <c r="E213" s="1">
        <v>857</v>
      </c>
      <c r="F213" s="1" t="s">
        <v>23</v>
      </c>
      <c r="G213" s="1">
        <v>72.55</v>
      </c>
      <c r="H213" s="1">
        <v>73.2</v>
      </c>
      <c r="I213" s="1">
        <f t="shared" si="27"/>
        <v>0.65000000000000568</v>
      </c>
      <c r="J213" s="1">
        <f t="shared" si="28"/>
        <v>557.05000000000484</v>
      </c>
    </row>
    <row r="214" spans="1:10" x14ac:dyDescent="0.25">
      <c r="B214" s="1">
        <v>1002713</v>
      </c>
      <c r="C214" s="1"/>
      <c r="D214" s="1" t="s">
        <v>161</v>
      </c>
      <c r="E214" s="1">
        <v>691.5</v>
      </c>
      <c r="F214" s="1" t="s">
        <v>23</v>
      </c>
      <c r="G214" s="1">
        <v>72.55</v>
      </c>
      <c r="H214" s="1">
        <v>73.2</v>
      </c>
      <c r="I214" s="1">
        <f t="shared" si="27"/>
        <v>0.65000000000000568</v>
      </c>
      <c r="J214" s="1">
        <f t="shared" si="28"/>
        <v>449.47500000000394</v>
      </c>
    </row>
    <row r="215" spans="1:10" x14ac:dyDescent="0.25"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B216" s="1"/>
      <c r="C216" s="1"/>
      <c r="D216" s="1"/>
      <c r="E216" s="34">
        <f>SUM(E200:E214)</f>
        <v>16384.400000000001</v>
      </c>
      <c r="F216" s="1" t="s">
        <v>23</v>
      </c>
      <c r="G216" s="1"/>
      <c r="H216" s="1"/>
      <c r="I216" s="1"/>
      <c r="J216" s="5">
        <f>SUM(J200:J215)</f>
        <v>15033.544999999915</v>
      </c>
    </row>
    <row r="218" spans="1:10" x14ac:dyDescent="0.25">
      <c r="C218" s="1" t="s">
        <v>225</v>
      </c>
    </row>
    <row r="219" spans="1:10" x14ac:dyDescent="0.25">
      <c r="A219" s="1" t="s">
        <v>220</v>
      </c>
      <c r="B219" s="1" t="s">
        <v>221</v>
      </c>
      <c r="C219" s="1" t="s">
        <v>167</v>
      </c>
      <c r="D219" s="1" t="s">
        <v>169</v>
      </c>
      <c r="E219" s="1" t="s">
        <v>222</v>
      </c>
      <c r="F219" s="1" t="s">
        <v>50</v>
      </c>
      <c r="G219" s="1" t="s">
        <v>223</v>
      </c>
      <c r="H219" s="1" t="s">
        <v>52</v>
      </c>
      <c r="I219" s="1" t="s">
        <v>21</v>
      </c>
    </row>
    <row r="220" spans="1:10" x14ac:dyDescent="0.25">
      <c r="A220" s="1">
        <v>5000215460</v>
      </c>
      <c r="B220" s="1">
        <v>114</v>
      </c>
      <c r="C220" s="1">
        <v>1000538</v>
      </c>
      <c r="D220" s="1" t="s">
        <v>88</v>
      </c>
      <c r="E220" s="1">
        <v>441</v>
      </c>
      <c r="F220" s="1">
        <v>74.150000000000006</v>
      </c>
      <c r="G220" s="1">
        <v>75.849999999999994</v>
      </c>
      <c r="H220" s="1">
        <f>G220-F220</f>
        <v>1.6999999999999886</v>
      </c>
      <c r="I220" s="1">
        <f t="shared" ref="I220:I237" si="29">H220*E220</f>
        <v>749.69999999999504</v>
      </c>
    </row>
    <row r="221" spans="1:10" x14ac:dyDescent="0.25">
      <c r="A221" s="1">
        <v>5000215449</v>
      </c>
      <c r="B221" s="1">
        <v>114</v>
      </c>
      <c r="C221" s="1">
        <v>1001263</v>
      </c>
      <c r="D221" s="1" t="s">
        <v>108</v>
      </c>
      <c r="E221" s="1">
        <v>928</v>
      </c>
      <c r="F221" s="1">
        <v>74.150000000000006</v>
      </c>
      <c r="G221" s="1">
        <v>75.849999999999994</v>
      </c>
      <c r="H221" s="1">
        <f t="shared" ref="H221:H237" si="30">G221-F221</f>
        <v>1.6999999999999886</v>
      </c>
      <c r="I221" s="1">
        <f t="shared" si="29"/>
        <v>1577.5999999999894</v>
      </c>
    </row>
    <row r="222" spans="1:10" x14ac:dyDescent="0.25">
      <c r="A222" s="1">
        <v>5000215449</v>
      </c>
      <c r="B222" s="1">
        <v>114</v>
      </c>
      <c r="C222" s="1">
        <v>1001263</v>
      </c>
      <c r="D222" s="1" t="s">
        <v>108</v>
      </c>
      <c r="E222" s="2">
        <v>2270</v>
      </c>
      <c r="F222" s="1">
        <v>74.150000000000006</v>
      </c>
      <c r="G222" s="1">
        <v>75.849999999999994</v>
      </c>
      <c r="H222" s="1">
        <f t="shared" si="30"/>
        <v>1.6999999999999886</v>
      </c>
      <c r="I222" s="1">
        <f t="shared" si="29"/>
        <v>3858.9999999999741</v>
      </c>
    </row>
    <row r="223" spans="1:10" x14ac:dyDescent="0.25">
      <c r="A223" s="1">
        <v>5000215449</v>
      </c>
      <c r="B223" s="1">
        <v>114</v>
      </c>
      <c r="C223" s="1">
        <v>1001263</v>
      </c>
      <c r="D223" s="1" t="s">
        <v>108</v>
      </c>
      <c r="E223" s="1">
        <v>243</v>
      </c>
      <c r="F223" s="1">
        <v>74.150000000000006</v>
      </c>
      <c r="G223" s="1">
        <v>75.849999999999994</v>
      </c>
      <c r="H223" s="1">
        <f t="shared" si="30"/>
        <v>1.6999999999999886</v>
      </c>
      <c r="I223" s="1">
        <f t="shared" si="29"/>
        <v>413.09999999999724</v>
      </c>
    </row>
    <row r="224" spans="1:10" x14ac:dyDescent="0.25">
      <c r="A224" s="1">
        <v>5000215461</v>
      </c>
      <c r="B224" s="1">
        <v>114</v>
      </c>
      <c r="C224" s="1">
        <v>1001375</v>
      </c>
      <c r="D224" s="1" t="s">
        <v>224</v>
      </c>
      <c r="E224" s="2">
        <v>1494</v>
      </c>
      <c r="F224" s="1">
        <v>74.150000000000006</v>
      </c>
      <c r="G224" s="1">
        <v>75.849999999999994</v>
      </c>
      <c r="H224" s="1">
        <f t="shared" si="30"/>
        <v>1.6999999999999886</v>
      </c>
      <c r="I224" s="1">
        <f t="shared" si="29"/>
        <v>2539.7999999999829</v>
      </c>
    </row>
    <row r="225" spans="1:9" x14ac:dyDescent="0.25">
      <c r="A225" s="1">
        <v>5000211511</v>
      </c>
      <c r="B225" s="1">
        <v>114</v>
      </c>
      <c r="C225" s="1">
        <v>1001375</v>
      </c>
      <c r="D225" s="1" t="s">
        <v>224</v>
      </c>
      <c r="E225" s="1">
        <v>696.14400000000001</v>
      </c>
      <c r="F225" s="1">
        <v>74.150000000000006</v>
      </c>
      <c r="G225" s="1">
        <v>75.849999999999994</v>
      </c>
      <c r="H225" s="1">
        <f t="shared" si="30"/>
        <v>1.6999999999999886</v>
      </c>
      <c r="I225" s="1">
        <f t="shared" si="29"/>
        <v>1183.444799999992</v>
      </c>
    </row>
    <row r="226" spans="1:9" x14ac:dyDescent="0.25">
      <c r="A226" s="1">
        <v>5000211511</v>
      </c>
      <c r="B226" s="1">
        <v>114</v>
      </c>
      <c r="C226" s="1">
        <v>1001375</v>
      </c>
      <c r="D226" s="1" t="s">
        <v>224</v>
      </c>
      <c r="E226" s="3">
        <v>1353.2190000000001</v>
      </c>
      <c r="F226" s="1">
        <v>74.150000000000006</v>
      </c>
      <c r="G226" s="1">
        <v>75.849999999999994</v>
      </c>
      <c r="H226" s="1">
        <f t="shared" si="30"/>
        <v>1.6999999999999886</v>
      </c>
      <c r="I226" s="1">
        <f t="shared" si="29"/>
        <v>2300.4722999999849</v>
      </c>
    </row>
    <row r="227" spans="1:9" x14ac:dyDescent="0.25">
      <c r="A227" s="1">
        <v>5000211511</v>
      </c>
      <c r="B227" s="1">
        <v>114</v>
      </c>
      <c r="C227" s="1">
        <v>1001375</v>
      </c>
      <c r="D227" s="1" t="s">
        <v>224</v>
      </c>
      <c r="E227" s="1">
        <v>229.637</v>
      </c>
      <c r="F227" s="1">
        <v>74.150000000000006</v>
      </c>
      <c r="G227" s="1">
        <v>75.849999999999994</v>
      </c>
      <c r="H227" s="1">
        <f t="shared" si="30"/>
        <v>1.6999999999999886</v>
      </c>
      <c r="I227" s="1">
        <f t="shared" si="29"/>
        <v>390.38289999999739</v>
      </c>
    </row>
    <row r="228" spans="1:9" x14ac:dyDescent="0.25">
      <c r="A228" s="1">
        <v>5000215448</v>
      </c>
      <c r="B228" s="1">
        <v>114</v>
      </c>
      <c r="C228" s="1">
        <v>1001401</v>
      </c>
      <c r="D228" s="1" t="s">
        <v>89</v>
      </c>
      <c r="E228" s="2">
        <v>2124</v>
      </c>
      <c r="F228" s="1">
        <v>74.150000000000006</v>
      </c>
      <c r="G228" s="1">
        <v>75.849999999999994</v>
      </c>
      <c r="H228" s="1">
        <f t="shared" si="30"/>
        <v>1.6999999999999886</v>
      </c>
      <c r="I228" s="1">
        <f t="shared" si="29"/>
        <v>3610.7999999999756</v>
      </c>
    </row>
    <row r="229" spans="1:9" x14ac:dyDescent="0.25">
      <c r="A229" s="1">
        <v>5000211512</v>
      </c>
      <c r="B229" s="1">
        <v>114</v>
      </c>
      <c r="C229" s="1">
        <v>1001401</v>
      </c>
      <c r="D229" s="1" t="s">
        <v>89</v>
      </c>
      <c r="E229" s="2">
        <v>2531</v>
      </c>
      <c r="F229" s="1">
        <v>74.150000000000006</v>
      </c>
      <c r="G229" s="1">
        <v>75.849999999999994</v>
      </c>
      <c r="H229" s="1">
        <f t="shared" si="30"/>
        <v>1.6999999999999886</v>
      </c>
      <c r="I229" s="1">
        <f t="shared" si="29"/>
        <v>4302.6999999999716</v>
      </c>
    </row>
    <row r="230" spans="1:9" x14ac:dyDescent="0.25">
      <c r="A230" s="1">
        <v>5000215447</v>
      </c>
      <c r="B230" s="1">
        <v>114</v>
      </c>
      <c r="C230" s="1">
        <v>1001816</v>
      </c>
      <c r="D230" s="1" t="s">
        <v>158</v>
      </c>
      <c r="E230" s="2">
        <v>2356</v>
      </c>
      <c r="F230" s="1">
        <v>73.75</v>
      </c>
      <c r="G230" s="1">
        <v>75.349999999999994</v>
      </c>
      <c r="H230" s="1">
        <f t="shared" si="30"/>
        <v>1.5999999999999943</v>
      </c>
      <c r="I230" s="1">
        <f t="shared" si="29"/>
        <v>3769.5999999999867</v>
      </c>
    </row>
    <row r="231" spans="1:9" x14ac:dyDescent="0.25">
      <c r="A231" s="1">
        <v>5000215447</v>
      </c>
      <c r="B231" s="1">
        <v>114</v>
      </c>
      <c r="C231" s="1">
        <v>1001816</v>
      </c>
      <c r="D231" s="1" t="s">
        <v>158</v>
      </c>
      <c r="E231" s="2">
        <v>5888</v>
      </c>
      <c r="F231" s="1">
        <v>73.75</v>
      </c>
      <c r="G231" s="1">
        <v>75.349999999999994</v>
      </c>
      <c r="H231" s="1">
        <f t="shared" si="30"/>
        <v>1.5999999999999943</v>
      </c>
      <c r="I231" s="1">
        <f t="shared" si="29"/>
        <v>9420.7999999999665</v>
      </c>
    </row>
    <row r="232" spans="1:9" x14ac:dyDescent="0.25">
      <c r="A232" s="1">
        <v>5000211513</v>
      </c>
      <c r="B232" s="1">
        <v>114</v>
      </c>
      <c r="C232" s="1">
        <v>1001816</v>
      </c>
      <c r="D232" s="1" t="s">
        <v>158</v>
      </c>
      <c r="E232" s="2">
        <v>2540</v>
      </c>
      <c r="F232" s="1">
        <v>73.75</v>
      </c>
      <c r="G232" s="1">
        <v>75.349999999999994</v>
      </c>
      <c r="H232" s="1">
        <f t="shared" si="30"/>
        <v>1.5999999999999943</v>
      </c>
      <c r="I232" s="1">
        <f t="shared" si="29"/>
        <v>4063.9999999999854</v>
      </c>
    </row>
    <row r="233" spans="1:9" x14ac:dyDescent="0.25">
      <c r="A233" s="1">
        <v>5000211516</v>
      </c>
      <c r="B233" s="1">
        <v>114</v>
      </c>
      <c r="C233" s="1">
        <v>1001816</v>
      </c>
      <c r="D233" s="1" t="s">
        <v>158</v>
      </c>
      <c r="E233" s="2">
        <v>2540</v>
      </c>
      <c r="F233" s="1">
        <v>73.75</v>
      </c>
      <c r="G233" s="1">
        <v>75.349999999999994</v>
      </c>
      <c r="H233" s="1">
        <f t="shared" si="30"/>
        <v>1.5999999999999943</v>
      </c>
      <c r="I233" s="1">
        <f t="shared" si="29"/>
        <v>4063.9999999999854</v>
      </c>
    </row>
    <row r="234" spans="1:9" x14ac:dyDescent="0.25">
      <c r="A234" s="1">
        <v>5000211514</v>
      </c>
      <c r="B234" s="1">
        <v>114</v>
      </c>
      <c r="C234" s="1">
        <v>1001886</v>
      </c>
      <c r="D234" s="1" t="s">
        <v>90</v>
      </c>
      <c r="E234" s="2">
        <v>1718</v>
      </c>
      <c r="F234" s="1">
        <v>73.75</v>
      </c>
      <c r="G234" s="1">
        <v>75.349999999999994</v>
      </c>
      <c r="H234" s="1">
        <f t="shared" si="30"/>
        <v>1.5999999999999943</v>
      </c>
      <c r="I234" s="1">
        <f t="shared" si="29"/>
        <v>2748.7999999999902</v>
      </c>
    </row>
    <row r="235" spans="1:9" x14ac:dyDescent="0.25">
      <c r="A235" s="1">
        <v>5000215698</v>
      </c>
      <c r="B235" s="1">
        <v>114</v>
      </c>
      <c r="C235" s="1">
        <v>1001934</v>
      </c>
      <c r="D235" s="1" t="s">
        <v>91</v>
      </c>
      <c r="E235" s="2">
        <v>1977</v>
      </c>
      <c r="F235" s="1">
        <v>73.75</v>
      </c>
      <c r="G235" s="1">
        <v>75.349999999999994</v>
      </c>
      <c r="H235" s="1">
        <f t="shared" si="30"/>
        <v>1.5999999999999943</v>
      </c>
      <c r="I235" s="1">
        <f t="shared" si="29"/>
        <v>3163.1999999999889</v>
      </c>
    </row>
    <row r="236" spans="1:9" x14ac:dyDescent="0.25">
      <c r="A236" s="1">
        <v>5000215698</v>
      </c>
      <c r="B236" s="1">
        <v>114</v>
      </c>
      <c r="C236" s="1">
        <v>1001934</v>
      </c>
      <c r="D236" s="1" t="s">
        <v>91</v>
      </c>
      <c r="E236" s="2">
        <v>1870</v>
      </c>
      <c r="F236" s="1">
        <v>73.75</v>
      </c>
      <c r="G236" s="1">
        <v>75.349999999999994</v>
      </c>
      <c r="H236" s="1">
        <f t="shared" si="30"/>
        <v>1.5999999999999943</v>
      </c>
      <c r="I236" s="1">
        <f t="shared" si="29"/>
        <v>2991.9999999999895</v>
      </c>
    </row>
    <row r="237" spans="1:9" x14ac:dyDescent="0.25">
      <c r="A237" s="1">
        <v>5000215698</v>
      </c>
      <c r="B237" s="1">
        <v>114</v>
      </c>
      <c r="C237" s="1">
        <v>1001934</v>
      </c>
      <c r="D237" s="1" t="s">
        <v>91</v>
      </c>
      <c r="E237" s="1">
        <v>270</v>
      </c>
      <c r="F237" s="1">
        <v>73.75</v>
      </c>
      <c r="G237" s="1">
        <v>75.349999999999994</v>
      </c>
      <c r="H237" s="1">
        <f t="shared" si="30"/>
        <v>1.5999999999999943</v>
      </c>
      <c r="I237" s="1">
        <f t="shared" si="29"/>
        <v>431.99999999999847</v>
      </c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>
        <f>SUM(E220:E237)</f>
        <v>31469</v>
      </c>
      <c r="F239" s="1"/>
      <c r="G239" s="1"/>
      <c r="H239" s="5" t="s">
        <v>58</v>
      </c>
      <c r="I239" s="5">
        <f>SUM(I220:I238)</f>
        <v>51581.399999999754</v>
      </c>
    </row>
    <row r="240" spans="1:9" x14ac:dyDescent="0.25">
      <c r="A240" s="8"/>
      <c r="B240" s="8"/>
      <c r="C240" s="8"/>
      <c r="D240" s="8"/>
      <c r="E240" s="8"/>
      <c r="F240" s="8"/>
      <c r="G240" s="8"/>
      <c r="H240" s="26"/>
      <c r="I240" s="26"/>
    </row>
    <row r="241" spans="1:18" x14ac:dyDescent="0.25">
      <c r="A241" s="8"/>
      <c r="B241" s="8"/>
      <c r="C241" s="8"/>
      <c r="D241" s="8"/>
      <c r="E241" s="8" t="s">
        <v>23</v>
      </c>
      <c r="F241" s="8" t="s">
        <v>250</v>
      </c>
      <c r="G241" s="8"/>
      <c r="H241" s="26"/>
      <c r="I241" s="26"/>
    </row>
    <row r="242" spans="1:18" x14ac:dyDescent="0.25">
      <c r="A242" s="8"/>
      <c r="B242" s="8"/>
      <c r="C242" s="8" t="s">
        <v>249</v>
      </c>
      <c r="D242" s="8"/>
      <c r="E242" s="8">
        <f>E239+E216+E196</f>
        <v>58302.590000000004</v>
      </c>
      <c r="F242" s="8">
        <f>I239+J216+M196</f>
        <v>75582.300999999658</v>
      </c>
      <c r="G242" s="8"/>
      <c r="H242" s="26"/>
      <c r="I242" s="26"/>
    </row>
    <row r="244" spans="1:18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8" x14ac:dyDescent="0.25">
      <c r="C245" s="1">
        <v>1002426</v>
      </c>
      <c r="D245" s="1" t="s">
        <v>67</v>
      </c>
      <c r="E245" s="1">
        <v>483.7</v>
      </c>
      <c r="F245" s="1"/>
      <c r="G245" s="1">
        <v>86021</v>
      </c>
      <c r="H245" s="12">
        <v>8.1999999999999993</v>
      </c>
      <c r="I245" s="12">
        <v>6.6</v>
      </c>
      <c r="J245" s="10">
        <f>E245/H245</f>
        <v>58.987804878048784</v>
      </c>
      <c r="K245" s="10">
        <f>E245/I245</f>
        <v>73.287878787878796</v>
      </c>
      <c r="L245" s="10">
        <f>K245-J245</f>
        <v>14.300073909830012</v>
      </c>
      <c r="M245" s="7">
        <f>L245*H245</f>
        <v>117.26060606060608</v>
      </c>
      <c r="N245" s="7">
        <f>G245/E245</f>
        <v>177.83956998139342</v>
      </c>
      <c r="O245" s="1">
        <f>N245*M245</f>
        <v>20853.57575757576</v>
      </c>
    </row>
    <row r="246" spans="1:18" x14ac:dyDescent="0.25">
      <c r="C246" s="1">
        <v>1002707</v>
      </c>
      <c r="D246" s="1" t="s">
        <v>127</v>
      </c>
      <c r="E246" s="1">
        <v>122.3</v>
      </c>
      <c r="F246" s="1"/>
      <c r="G246" s="1">
        <v>21749.83</v>
      </c>
      <c r="H246" s="12">
        <v>8.1999999999999993</v>
      </c>
      <c r="I246" s="12">
        <v>6.6</v>
      </c>
      <c r="J246" s="10">
        <f>E246/H246</f>
        <v>14.914634146341465</v>
      </c>
      <c r="K246" s="10">
        <f>E246/I246</f>
        <v>18.530303030303031</v>
      </c>
      <c r="L246" s="10">
        <f>K246-J246</f>
        <v>3.6156688839615665</v>
      </c>
      <c r="M246" s="7">
        <f>L246*H246</f>
        <v>29.648484848484841</v>
      </c>
      <c r="N246" s="1">
        <f>G246/E246</f>
        <v>177.83998364677026</v>
      </c>
      <c r="O246" s="1">
        <f>N246*M246</f>
        <v>5272.68606060606</v>
      </c>
    </row>
    <row r="247" spans="1:18" x14ac:dyDescent="0.25">
      <c r="C247" s="1"/>
      <c r="D247" s="1"/>
      <c r="E247" s="1">
        <f>SUM(E245:E246)</f>
        <v>606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8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 t="s">
        <v>58</v>
      </c>
      <c r="M248" s="7">
        <f>SUM(M245:M246)</f>
        <v>146.90909090909093</v>
      </c>
      <c r="N248" s="1"/>
      <c r="O248" s="1">
        <f>SUM(O245:O247)</f>
        <v>26126.261818181818</v>
      </c>
    </row>
    <row r="251" spans="1:18" x14ac:dyDescent="0.25">
      <c r="C251" s="1"/>
      <c r="D251" s="1" t="s">
        <v>146</v>
      </c>
      <c r="E251" s="1" t="s">
        <v>22</v>
      </c>
      <c r="F251" s="1" t="s">
        <v>245</v>
      </c>
      <c r="G251" s="1" t="s">
        <v>248</v>
      </c>
      <c r="H251" s="1" t="s">
        <v>247</v>
      </c>
      <c r="I251" s="4" t="s">
        <v>243</v>
      </c>
      <c r="J251" s="1" t="s">
        <v>244</v>
      </c>
      <c r="K251" s="8"/>
      <c r="L251" s="8"/>
      <c r="M251" s="8"/>
      <c r="N251" s="8"/>
      <c r="O251" s="8"/>
      <c r="P251" s="8"/>
      <c r="Q251" s="8"/>
      <c r="R251" s="8"/>
    </row>
    <row r="252" spans="1:18" x14ac:dyDescent="0.25">
      <c r="C252" s="1">
        <v>1000139</v>
      </c>
      <c r="D252" s="1" t="s">
        <v>129</v>
      </c>
      <c r="E252" s="1">
        <v>704</v>
      </c>
      <c r="F252" s="3">
        <v>12038.4</v>
      </c>
      <c r="G252" s="1">
        <f>F252/E252</f>
        <v>17.099999999999998</v>
      </c>
      <c r="H252" s="1">
        <v>18.440000000000001</v>
      </c>
      <c r="I252" s="1">
        <f t="shared" ref="I252:I283" si="31">H252-G252</f>
        <v>1.3400000000000034</v>
      </c>
      <c r="J252" s="1">
        <f t="shared" ref="J252:J283" si="32">I252*E252</f>
        <v>943.3600000000024</v>
      </c>
      <c r="K252" s="8"/>
      <c r="L252" s="8"/>
      <c r="M252" s="8"/>
      <c r="N252" s="8"/>
      <c r="O252" s="8"/>
      <c r="P252" s="8"/>
      <c r="Q252" s="8"/>
      <c r="R252" s="8"/>
    </row>
    <row r="253" spans="1:18" x14ac:dyDescent="0.25">
      <c r="C253" s="1">
        <v>1000139</v>
      </c>
      <c r="D253" s="1" t="s">
        <v>129</v>
      </c>
      <c r="E253" s="1">
        <v>300</v>
      </c>
      <c r="F253" s="3">
        <v>5130</v>
      </c>
      <c r="G253" s="1">
        <f t="shared" ref="G253:G316" si="33">F253/E253</f>
        <v>17.100000000000001</v>
      </c>
      <c r="H253" s="1">
        <v>18.440000000000001</v>
      </c>
      <c r="I253" s="1">
        <f t="shared" si="31"/>
        <v>1.3399999999999999</v>
      </c>
      <c r="J253" s="1">
        <f t="shared" si="32"/>
        <v>401.99999999999994</v>
      </c>
      <c r="K253" s="8"/>
      <c r="L253" s="8"/>
      <c r="M253" s="8"/>
      <c r="N253" s="8"/>
      <c r="O253" s="8"/>
      <c r="P253" s="8"/>
      <c r="Q253" s="8"/>
      <c r="R253" s="8"/>
    </row>
    <row r="254" spans="1:18" x14ac:dyDescent="0.25">
      <c r="C254" s="1">
        <v>1000147</v>
      </c>
      <c r="D254" s="1" t="s">
        <v>130</v>
      </c>
      <c r="E254" s="1">
        <v>300</v>
      </c>
      <c r="F254" s="3">
        <v>6768</v>
      </c>
      <c r="G254" s="1">
        <f t="shared" si="33"/>
        <v>22.56</v>
      </c>
      <c r="H254" s="1">
        <v>23.7</v>
      </c>
      <c r="I254" s="1">
        <f t="shared" si="31"/>
        <v>1.1400000000000006</v>
      </c>
      <c r="J254" s="1">
        <f t="shared" si="32"/>
        <v>342.00000000000017</v>
      </c>
      <c r="K254" s="8"/>
      <c r="L254" s="8"/>
      <c r="M254" s="8"/>
      <c r="N254" s="8"/>
      <c r="O254" s="8"/>
      <c r="P254" s="8"/>
      <c r="Q254" s="8"/>
      <c r="R254" s="8"/>
    </row>
    <row r="255" spans="1:18" x14ac:dyDescent="0.25">
      <c r="C255" s="1">
        <v>1000147</v>
      </c>
      <c r="D255" s="1" t="s">
        <v>130</v>
      </c>
      <c r="E255" s="1">
        <v>296</v>
      </c>
      <c r="F255" s="3">
        <v>6677.76</v>
      </c>
      <c r="G255" s="1">
        <f t="shared" si="33"/>
        <v>22.560000000000002</v>
      </c>
      <c r="H255" s="1">
        <v>23.7</v>
      </c>
      <c r="I255" s="1">
        <f t="shared" si="31"/>
        <v>1.139999999999997</v>
      </c>
      <c r="J255" s="1">
        <f t="shared" si="32"/>
        <v>337.43999999999915</v>
      </c>
      <c r="K255" s="8"/>
      <c r="L255" s="8"/>
      <c r="M255" s="8"/>
      <c r="N255" s="8"/>
      <c r="O255" s="8"/>
      <c r="P255" s="8"/>
      <c r="Q255" s="8"/>
      <c r="R255" s="8"/>
    </row>
    <row r="256" spans="1:18" x14ac:dyDescent="0.25">
      <c r="C256" s="1">
        <v>1000204</v>
      </c>
      <c r="D256" s="1" t="s">
        <v>131</v>
      </c>
      <c r="E256" s="1">
        <v>158</v>
      </c>
      <c r="F256" s="3">
        <v>2875.6</v>
      </c>
      <c r="G256" s="1">
        <f t="shared" si="33"/>
        <v>18.2</v>
      </c>
      <c r="H256" s="1">
        <v>19.649999999999999</v>
      </c>
      <c r="I256" s="1">
        <f t="shared" si="31"/>
        <v>1.4499999999999993</v>
      </c>
      <c r="J256" s="1">
        <f t="shared" si="32"/>
        <v>229.09999999999988</v>
      </c>
      <c r="K256" s="8"/>
      <c r="L256" s="8"/>
      <c r="M256" s="8"/>
      <c r="N256" s="8"/>
      <c r="O256" s="8"/>
      <c r="P256" s="8"/>
      <c r="Q256" s="8"/>
      <c r="R256" s="8"/>
    </row>
    <row r="257" spans="3:18" x14ac:dyDescent="0.25">
      <c r="C257" s="1">
        <v>1000204</v>
      </c>
      <c r="D257" s="1" t="s">
        <v>131</v>
      </c>
      <c r="E257" s="1">
        <v>220</v>
      </c>
      <c r="F257" s="3">
        <v>4004</v>
      </c>
      <c r="G257" s="1">
        <f t="shared" si="33"/>
        <v>18.2</v>
      </c>
      <c r="H257" s="1">
        <v>19.649999999999999</v>
      </c>
      <c r="I257" s="1">
        <f t="shared" si="31"/>
        <v>1.4499999999999993</v>
      </c>
      <c r="J257" s="1">
        <f t="shared" si="32"/>
        <v>318.99999999999983</v>
      </c>
      <c r="K257" s="8"/>
      <c r="L257" s="8"/>
      <c r="M257" s="8"/>
      <c r="N257" s="8"/>
      <c r="O257" s="8"/>
      <c r="P257" s="8"/>
      <c r="Q257" s="8"/>
      <c r="R257" s="8"/>
    </row>
    <row r="258" spans="3:18" x14ac:dyDescent="0.25">
      <c r="C258" s="1">
        <v>1000204</v>
      </c>
      <c r="D258" s="1" t="s">
        <v>131</v>
      </c>
      <c r="E258" s="1">
        <v>756</v>
      </c>
      <c r="F258" s="3">
        <v>13759.2</v>
      </c>
      <c r="G258" s="1">
        <f t="shared" si="33"/>
        <v>18.2</v>
      </c>
      <c r="H258" s="1">
        <v>19.649999999999999</v>
      </c>
      <c r="I258" s="1">
        <f t="shared" si="31"/>
        <v>1.4499999999999993</v>
      </c>
      <c r="J258" s="1">
        <f t="shared" si="32"/>
        <v>1096.1999999999994</v>
      </c>
      <c r="K258" s="8"/>
      <c r="L258" s="8"/>
      <c r="M258" s="8"/>
      <c r="N258" s="8"/>
      <c r="O258" s="8"/>
      <c r="P258" s="8"/>
      <c r="Q258" s="8"/>
      <c r="R258" s="8"/>
    </row>
    <row r="259" spans="3:18" x14ac:dyDescent="0.25">
      <c r="C259" s="1">
        <v>1000204</v>
      </c>
      <c r="D259" s="1" t="s">
        <v>131</v>
      </c>
      <c r="E259" s="1">
        <v>700</v>
      </c>
      <c r="F259" s="3">
        <v>12740</v>
      </c>
      <c r="G259" s="1">
        <f t="shared" si="33"/>
        <v>18.2</v>
      </c>
      <c r="H259" s="1">
        <v>19.649999999999999</v>
      </c>
      <c r="I259" s="1">
        <f t="shared" si="31"/>
        <v>1.4499999999999993</v>
      </c>
      <c r="J259" s="1">
        <f t="shared" si="32"/>
        <v>1014.9999999999995</v>
      </c>
      <c r="K259" s="8"/>
      <c r="L259" s="8"/>
      <c r="M259" s="8"/>
      <c r="N259" s="8"/>
      <c r="O259" s="8"/>
      <c r="P259" s="8"/>
      <c r="Q259" s="8"/>
      <c r="R259" s="8"/>
    </row>
    <row r="260" spans="3:18" x14ac:dyDescent="0.25">
      <c r="C260" s="1">
        <v>1000204</v>
      </c>
      <c r="D260" s="1" t="s">
        <v>131</v>
      </c>
      <c r="E260" s="1">
        <v>164</v>
      </c>
      <c r="F260" s="3">
        <v>2984.8</v>
      </c>
      <c r="G260" s="1">
        <f t="shared" si="33"/>
        <v>18.200000000000003</v>
      </c>
      <c r="H260" s="1">
        <v>19.649999999999999</v>
      </c>
      <c r="I260" s="1">
        <f t="shared" si="31"/>
        <v>1.4499999999999957</v>
      </c>
      <c r="J260" s="1">
        <f t="shared" si="32"/>
        <v>237.7999999999993</v>
      </c>
      <c r="K260" s="8"/>
      <c r="L260" s="8"/>
      <c r="M260" s="8"/>
      <c r="N260" s="8"/>
      <c r="O260" s="8"/>
      <c r="P260" s="8"/>
      <c r="Q260" s="8"/>
      <c r="R260" s="8"/>
    </row>
    <row r="261" spans="3:18" x14ac:dyDescent="0.25">
      <c r="C261" s="1">
        <v>1000211</v>
      </c>
      <c r="D261" s="1" t="s">
        <v>132</v>
      </c>
      <c r="E261" s="2">
        <v>3420</v>
      </c>
      <c r="F261" s="3">
        <v>59337</v>
      </c>
      <c r="G261" s="1">
        <f t="shared" si="33"/>
        <v>17.350000000000001</v>
      </c>
      <c r="H261" s="1">
        <v>18.7</v>
      </c>
      <c r="I261" s="1">
        <f t="shared" si="31"/>
        <v>1.3499999999999979</v>
      </c>
      <c r="J261" s="1">
        <f t="shared" si="32"/>
        <v>4616.9999999999927</v>
      </c>
      <c r="K261" s="8"/>
      <c r="L261" s="8"/>
      <c r="M261" s="8"/>
      <c r="N261" s="8"/>
      <c r="O261" s="8"/>
      <c r="P261" s="8"/>
      <c r="Q261" s="8"/>
      <c r="R261" s="8"/>
    </row>
    <row r="262" spans="3:18" x14ac:dyDescent="0.25">
      <c r="C262" s="1">
        <v>1000211</v>
      </c>
      <c r="D262" s="1" t="s">
        <v>132</v>
      </c>
      <c r="E262" s="2">
        <v>1500</v>
      </c>
      <c r="F262" s="3">
        <v>26025</v>
      </c>
      <c r="G262" s="1">
        <f t="shared" si="33"/>
        <v>17.350000000000001</v>
      </c>
      <c r="H262" s="1">
        <v>18.7</v>
      </c>
      <c r="I262" s="1">
        <f t="shared" si="31"/>
        <v>1.3499999999999979</v>
      </c>
      <c r="J262" s="1">
        <f t="shared" si="32"/>
        <v>2024.9999999999968</v>
      </c>
      <c r="K262" s="8"/>
      <c r="L262" s="8"/>
      <c r="M262" s="8"/>
      <c r="N262" s="8"/>
      <c r="O262" s="8"/>
      <c r="P262" s="8"/>
      <c r="Q262" s="8"/>
      <c r="R262" s="8"/>
    </row>
    <row r="263" spans="3:18" x14ac:dyDescent="0.25">
      <c r="C263" s="1">
        <v>1000211</v>
      </c>
      <c r="D263" s="1" t="s">
        <v>132</v>
      </c>
      <c r="E263" s="2">
        <v>1500</v>
      </c>
      <c r="F263" s="3">
        <v>26025</v>
      </c>
      <c r="G263" s="1">
        <f t="shared" si="33"/>
        <v>17.350000000000001</v>
      </c>
      <c r="H263" s="1">
        <v>18.7</v>
      </c>
      <c r="I263" s="1">
        <f t="shared" si="31"/>
        <v>1.3499999999999979</v>
      </c>
      <c r="J263" s="1">
        <f t="shared" si="32"/>
        <v>2024.9999999999968</v>
      </c>
      <c r="K263" s="8"/>
      <c r="L263" s="8"/>
      <c r="M263" s="8"/>
      <c r="N263" s="8"/>
      <c r="O263" s="8"/>
      <c r="P263" s="8"/>
      <c r="Q263" s="8"/>
      <c r="R263" s="8"/>
    </row>
    <row r="264" spans="3:18" x14ac:dyDescent="0.25">
      <c r="C264" s="1">
        <v>1000211</v>
      </c>
      <c r="D264" s="1" t="s">
        <v>132</v>
      </c>
      <c r="E264" s="2">
        <v>3000</v>
      </c>
      <c r="F264" s="3">
        <v>52050</v>
      </c>
      <c r="G264" s="1">
        <f t="shared" si="33"/>
        <v>17.350000000000001</v>
      </c>
      <c r="H264" s="1">
        <v>18.7</v>
      </c>
      <c r="I264" s="1">
        <f t="shared" si="31"/>
        <v>1.3499999999999979</v>
      </c>
      <c r="J264" s="1">
        <f t="shared" si="32"/>
        <v>4049.9999999999936</v>
      </c>
      <c r="K264" s="8"/>
      <c r="L264" s="8"/>
      <c r="M264" s="8"/>
      <c r="N264" s="8"/>
      <c r="O264" s="8"/>
      <c r="P264" s="8"/>
      <c r="Q264" s="8"/>
      <c r="R264" s="8"/>
    </row>
    <row r="265" spans="3:18" x14ac:dyDescent="0.25">
      <c r="C265" s="1">
        <v>1000211</v>
      </c>
      <c r="D265" s="1" t="s">
        <v>132</v>
      </c>
      <c r="E265" s="2">
        <v>1480</v>
      </c>
      <c r="F265" s="3">
        <v>25678</v>
      </c>
      <c r="G265" s="1">
        <f t="shared" si="33"/>
        <v>17.350000000000001</v>
      </c>
      <c r="H265" s="1">
        <v>18.7</v>
      </c>
      <c r="I265" s="1">
        <f t="shared" si="31"/>
        <v>1.3499999999999979</v>
      </c>
      <c r="J265" s="1">
        <f t="shared" si="32"/>
        <v>1997.9999999999968</v>
      </c>
      <c r="K265" s="8"/>
      <c r="L265" s="8"/>
      <c r="M265" s="8"/>
      <c r="N265" s="8"/>
      <c r="O265" s="8"/>
      <c r="P265" s="8"/>
      <c r="Q265" s="8"/>
      <c r="R265" s="8"/>
    </row>
    <row r="266" spans="3:18" x14ac:dyDescent="0.25">
      <c r="C266" s="1">
        <v>1000685</v>
      </c>
      <c r="D266" s="1" t="s">
        <v>133</v>
      </c>
      <c r="E266" s="1">
        <v>240</v>
      </c>
      <c r="F266" s="3">
        <v>3360</v>
      </c>
      <c r="G266" s="1">
        <f t="shared" si="33"/>
        <v>14</v>
      </c>
      <c r="H266" s="1">
        <v>15.1</v>
      </c>
      <c r="I266" s="1">
        <f t="shared" si="31"/>
        <v>1.0999999999999996</v>
      </c>
      <c r="J266" s="1">
        <f t="shared" si="32"/>
        <v>263.99999999999989</v>
      </c>
      <c r="K266" s="8"/>
      <c r="L266" s="8"/>
      <c r="M266" s="8"/>
      <c r="N266" s="8"/>
      <c r="O266" s="8"/>
      <c r="P266" s="8"/>
      <c r="Q266" s="8"/>
      <c r="R266" s="8"/>
    </row>
    <row r="267" spans="3:18" x14ac:dyDescent="0.25">
      <c r="C267" s="1">
        <v>1000685</v>
      </c>
      <c r="D267" s="1" t="s">
        <v>133</v>
      </c>
      <c r="E267" s="1">
        <v>60</v>
      </c>
      <c r="F267" s="1">
        <v>840</v>
      </c>
      <c r="G267" s="1">
        <f t="shared" si="33"/>
        <v>14</v>
      </c>
      <c r="H267" s="1">
        <v>15.1</v>
      </c>
      <c r="I267" s="1">
        <f t="shared" si="31"/>
        <v>1.0999999999999996</v>
      </c>
      <c r="J267" s="1">
        <f t="shared" si="32"/>
        <v>65.999999999999972</v>
      </c>
      <c r="K267" s="8"/>
      <c r="L267" s="8"/>
      <c r="M267" s="8"/>
      <c r="N267" s="8"/>
      <c r="O267" s="8"/>
      <c r="P267" s="8"/>
      <c r="Q267" s="8"/>
      <c r="R267" s="8"/>
    </row>
    <row r="268" spans="3:18" x14ac:dyDescent="0.25">
      <c r="C268" s="1">
        <v>1000685</v>
      </c>
      <c r="D268" s="1" t="s">
        <v>133</v>
      </c>
      <c r="E268" s="1">
        <v>480</v>
      </c>
      <c r="F268" s="3">
        <v>6720</v>
      </c>
      <c r="G268" s="1">
        <f t="shared" si="33"/>
        <v>14</v>
      </c>
      <c r="H268" s="1">
        <v>15.1</v>
      </c>
      <c r="I268" s="1">
        <f t="shared" si="31"/>
        <v>1.0999999999999996</v>
      </c>
      <c r="J268" s="1">
        <f t="shared" si="32"/>
        <v>527.99999999999977</v>
      </c>
      <c r="K268" s="8"/>
      <c r="L268" s="8"/>
      <c r="M268" s="8"/>
      <c r="N268" s="8"/>
      <c r="O268" s="8"/>
      <c r="P268" s="8"/>
      <c r="Q268" s="8"/>
      <c r="R268" s="8"/>
    </row>
    <row r="269" spans="3:18" x14ac:dyDescent="0.25">
      <c r="C269" s="1">
        <v>1000685</v>
      </c>
      <c r="D269" s="1" t="s">
        <v>133</v>
      </c>
      <c r="E269" s="1">
        <v>360</v>
      </c>
      <c r="F269" s="3">
        <v>5040</v>
      </c>
      <c r="G269" s="1">
        <f t="shared" si="33"/>
        <v>14</v>
      </c>
      <c r="H269" s="1">
        <v>15.1</v>
      </c>
      <c r="I269" s="1">
        <f t="shared" si="31"/>
        <v>1.0999999999999996</v>
      </c>
      <c r="J269" s="1">
        <f t="shared" si="32"/>
        <v>395.99999999999989</v>
      </c>
      <c r="K269" s="8"/>
      <c r="L269" s="8"/>
      <c r="M269" s="8"/>
      <c r="N269" s="8"/>
      <c r="O269" s="8"/>
      <c r="P269" s="8"/>
      <c r="Q269" s="8"/>
      <c r="R269" s="8"/>
    </row>
    <row r="270" spans="3:18" x14ac:dyDescent="0.25">
      <c r="C270" s="1">
        <v>1001262</v>
      </c>
      <c r="D270" s="1" t="s">
        <v>134</v>
      </c>
      <c r="E270" s="2">
        <v>1075</v>
      </c>
      <c r="F270" s="3">
        <v>18490</v>
      </c>
      <c r="G270" s="1">
        <f t="shared" si="33"/>
        <v>17.2</v>
      </c>
      <c r="H270" s="1">
        <v>18.55</v>
      </c>
      <c r="I270" s="1">
        <f t="shared" si="31"/>
        <v>1.3500000000000014</v>
      </c>
      <c r="J270" s="1">
        <f t="shared" si="32"/>
        <v>1451.2500000000016</v>
      </c>
      <c r="K270" s="8"/>
      <c r="L270" s="8"/>
      <c r="M270" s="8"/>
      <c r="N270" s="8"/>
      <c r="O270" s="8"/>
      <c r="P270" s="8"/>
      <c r="Q270" s="8"/>
      <c r="R270" s="8"/>
    </row>
    <row r="271" spans="3:18" x14ac:dyDescent="0.25">
      <c r="C271" s="1">
        <v>1001262</v>
      </c>
      <c r="D271" s="1" t="s">
        <v>134</v>
      </c>
      <c r="E271" s="1">
        <v>300</v>
      </c>
      <c r="F271" s="3">
        <v>5160</v>
      </c>
      <c r="G271" s="1">
        <f t="shared" si="33"/>
        <v>17.2</v>
      </c>
      <c r="H271" s="1">
        <v>18.55</v>
      </c>
      <c r="I271" s="1">
        <f t="shared" si="31"/>
        <v>1.3500000000000014</v>
      </c>
      <c r="J271" s="1">
        <f t="shared" si="32"/>
        <v>405.00000000000045</v>
      </c>
      <c r="K271" s="8"/>
      <c r="L271" s="8"/>
      <c r="M271" s="8"/>
      <c r="N271" s="8"/>
      <c r="O271" s="8"/>
      <c r="P271" s="8"/>
      <c r="Q271" s="8"/>
      <c r="R271" s="8"/>
    </row>
    <row r="272" spans="3:18" x14ac:dyDescent="0.25">
      <c r="C272" s="1">
        <v>1001640</v>
      </c>
      <c r="D272" s="1" t="s">
        <v>135</v>
      </c>
      <c r="E272" s="1">
        <v>900</v>
      </c>
      <c r="F272" s="3">
        <v>9945</v>
      </c>
      <c r="G272" s="1">
        <f t="shared" si="33"/>
        <v>11.05</v>
      </c>
      <c r="H272" s="1">
        <v>11.9</v>
      </c>
      <c r="I272" s="1">
        <f t="shared" si="31"/>
        <v>0.84999999999999964</v>
      </c>
      <c r="J272" s="1">
        <f t="shared" si="32"/>
        <v>764.99999999999966</v>
      </c>
      <c r="K272" s="8"/>
      <c r="L272" s="8"/>
      <c r="M272" s="8"/>
      <c r="N272" s="8"/>
      <c r="O272" s="8"/>
      <c r="P272" s="8"/>
      <c r="Q272" s="8"/>
      <c r="R272" s="8"/>
    </row>
    <row r="273" spans="3:18" x14ac:dyDescent="0.25">
      <c r="C273" s="1">
        <v>1001640</v>
      </c>
      <c r="D273" s="1" t="s">
        <v>135</v>
      </c>
      <c r="E273" s="2">
        <v>600</v>
      </c>
      <c r="F273" s="3">
        <v>6630</v>
      </c>
      <c r="G273" s="1">
        <f t="shared" si="33"/>
        <v>11.05</v>
      </c>
      <c r="H273" s="1">
        <v>11.9</v>
      </c>
      <c r="I273" s="1">
        <f t="shared" si="31"/>
        <v>0.84999999999999964</v>
      </c>
      <c r="J273" s="1">
        <f t="shared" si="32"/>
        <v>509.99999999999977</v>
      </c>
      <c r="K273" s="8"/>
      <c r="L273" s="8"/>
      <c r="M273" s="8"/>
      <c r="N273" s="8"/>
      <c r="O273" s="8"/>
      <c r="P273" s="8"/>
      <c r="Q273" s="8"/>
      <c r="R273" s="8"/>
    </row>
    <row r="274" spans="3:18" x14ac:dyDescent="0.25">
      <c r="C274" s="1">
        <v>1001640</v>
      </c>
      <c r="D274" s="1" t="s">
        <v>135</v>
      </c>
      <c r="E274" s="2">
        <v>2420</v>
      </c>
      <c r="F274" s="3">
        <v>26741</v>
      </c>
      <c r="G274" s="1">
        <f t="shared" si="33"/>
        <v>11.05</v>
      </c>
      <c r="H274" s="1">
        <v>11.9</v>
      </c>
      <c r="I274" s="1">
        <f t="shared" si="31"/>
        <v>0.84999999999999964</v>
      </c>
      <c r="J274" s="1">
        <f t="shared" si="32"/>
        <v>2056.9999999999991</v>
      </c>
      <c r="K274" s="8"/>
      <c r="L274" s="8"/>
      <c r="M274" s="8"/>
      <c r="N274" s="8"/>
      <c r="O274" s="8"/>
      <c r="P274" s="8"/>
      <c r="Q274" s="8"/>
      <c r="R274" s="8"/>
    </row>
    <row r="275" spans="3:18" x14ac:dyDescent="0.25">
      <c r="C275" s="1">
        <v>1001773</v>
      </c>
      <c r="D275" s="1" t="s">
        <v>136</v>
      </c>
      <c r="E275" s="1">
        <v>700</v>
      </c>
      <c r="F275" s="3">
        <v>11375</v>
      </c>
      <c r="G275" s="1">
        <f t="shared" si="33"/>
        <v>16.25</v>
      </c>
      <c r="H275" s="1">
        <v>17.55</v>
      </c>
      <c r="I275" s="1">
        <f t="shared" si="31"/>
        <v>1.3000000000000007</v>
      </c>
      <c r="J275" s="1">
        <f t="shared" si="32"/>
        <v>910.00000000000045</v>
      </c>
      <c r="K275" s="8"/>
      <c r="L275" s="8"/>
      <c r="M275" s="8"/>
      <c r="N275" s="8"/>
      <c r="O275" s="8"/>
      <c r="P275" s="8"/>
      <c r="Q275" s="8"/>
      <c r="R275" s="8"/>
    </row>
    <row r="276" spans="3:18" x14ac:dyDescent="0.25">
      <c r="C276" s="1">
        <v>1001773</v>
      </c>
      <c r="D276" s="1" t="s">
        <v>136</v>
      </c>
      <c r="E276" s="1">
        <v>540</v>
      </c>
      <c r="F276" s="3">
        <v>8775</v>
      </c>
      <c r="G276" s="1">
        <f t="shared" si="33"/>
        <v>16.25</v>
      </c>
      <c r="H276" s="1">
        <v>17.55</v>
      </c>
      <c r="I276" s="1">
        <f t="shared" si="31"/>
        <v>1.3000000000000007</v>
      </c>
      <c r="J276" s="1">
        <f t="shared" si="32"/>
        <v>702.00000000000034</v>
      </c>
      <c r="K276" s="8"/>
      <c r="L276" s="8"/>
      <c r="M276" s="8"/>
      <c r="N276" s="8"/>
      <c r="O276" s="8"/>
      <c r="P276" s="8"/>
      <c r="Q276" s="8"/>
      <c r="R276" s="8"/>
    </row>
    <row r="277" spans="3:18" x14ac:dyDescent="0.25">
      <c r="C277" s="1">
        <v>1001773</v>
      </c>
      <c r="D277" s="1" t="s">
        <v>136</v>
      </c>
      <c r="E277" s="2">
        <v>1500</v>
      </c>
      <c r="F277" s="3">
        <v>24375</v>
      </c>
      <c r="G277" s="1">
        <f t="shared" si="33"/>
        <v>16.25</v>
      </c>
      <c r="H277" s="1">
        <v>17.55</v>
      </c>
      <c r="I277" s="1">
        <f t="shared" si="31"/>
        <v>1.3000000000000007</v>
      </c>
      <c r="J277" s="1">
        <f t="shared" si="32"/>
        <v>1950.0000000000011</v>
      </c>
      <c r="K277" s="8"/>
      <c r="L277" s="8"/>
      <c r="M277" s="8"/>
      <c r="N277" s="8"/>
      <c r="O277" s="8"/>
      <c r="P277" s="8"/>
      <c r="Q277" s="8"/>
      <c r="R277" s="8"/>
    </row>
    <row r="278" spans="3:18" x14ac:dyDescent="0.25">
      <c r="C278" s="1">
        <v>1001773</v>
      </c>
      <c r="D278" s="1" t="s">
        <v>136</v>
      </c>
      <c r="E278" s="2">
        <v>1680</v>
      </c>
      <c r="F278" s="3">
        <v>27300</v>
      </c>
      <c r="G278" s="1">
        <f t="shared" si="33"/>
        <v>16.25</v>
      </c>
      <c r="H278" s="1">
        <v>17.55</v>
      </c>
      <c r="I278" s="1">
        <f t="shared" si="31"/>
        <v>1.3000000000000007</v>
      </c>
      <c r="J278" s="1">
        <f t="shared" si="32"/>
        <v>2184.0000000000014</v>
      </c>
      <c r="K278" s="8"/>
      <c r="L278" s="8"/>
      <c r="M278" s="8"/>
      <c r="N278" s="8"/>
      <c r="O278" s="8"/>
      <c r="P278" s="8"/>
      <c r="Q278" s="8"/>
      <c r="R278" s="8"/>
    </row>
    <row r="279" spans="3:18" x14ac:dyDescent="0.25">
      <c r="C279" s="1">
        <v>1001773</v>
      </c>
      <c r="D279" s="1" t="s">
        <v>136</v>
      </c>
      <c r="E279" s="2">
        <v>1160</v>
      </c>
      <c r="F279" s="3">
        <v>18850</v>
      </c>
      <c r="G279" s="1">
        <f t="shared" si="33"/>
        <v>16.25</v>
      </c>
      <c r="H279" s="1">
        <v>17.55</v>
      </c>
      <c r="I279" s="1">
        <f t="shared" si="31"/>
        <v>1.3000000000000007</v>
      </c>
      <c r="J279" s="1">
        <f t="shared" si="32"/>
        <v>1508.0000000000009</v>
      </c>
      <c r="K279" s="8"/>
      <c r="L279" s="8"/>
      <c r="M279" s="8"/>
      <c r="N279" s="8"/>
      <c r="O279" s="8"/>
      <c r="P279" s="8"/>
      <c r="Q279" s="8"/>
      <c r="R279" s="8"/>
    </row>
    <row r="280" spans="3:18" x14ac:dyDescent="0.25">
      <c r="C280" s="1">
        <v>1001773</v>
      </c>
      <c r="D280" s="1" t="s">
        <v>136</v>
      </c>
      <c r="E280" s="2">
        <v>3780</v>
      </c>
      <c r="F280" s="3">
        <v>61425</v>
      </c>
      <c r="G280" s="1">
        <f t="shared" si="33"/>
        <v>16.25</v>
      </c>
      <c r="H280" s="1">
        <v>17.55</v>
      </c>
      <c r="I280" s="1">
        <f t="shared" si="31"/>
        <v>1.3000000000000007</v>
      </c>
      <c r="J280" s="1">
        <f t="shared" si="32"/>
        <v>4914.0000000000027</v>
      </c>
      <c r="K280" s="8"/>
      <c r="L280" s="8"/>
      <c r="M280" s="8"/>
      <c r="N280" s="8"/>
      <c r="O280" s="8"/>
      <c r="P280" s="8"/>
      <c r="Q280" s="8"/>
      <c r="R280" s="8"/>
    </row>
    <row r="281" spans="3:18" x14ac:dyDescent="0.25">
      <c r="C281" s="1">
        <v>1001773</v>
      </c>
      <c r="D281" s="1" t="s">
        <v>136</v>
      </c>
      <c r="E281" s="1">
        <v>240</v>
      </c>
      <c r="F281" s="3">
        <v>3900</v>
      </c>
      <c r="G281" s="1">
        <f t="shared" si="33"/>
        <v>16.25</v>
      </c>
      <c r="H281" s="1">
        <v>17.55</v>
      </c>
      <c r="I281" s="1">
        <f t="shared" si="31"/>
        <v>1.3000000000000007</v>
      </c>
      <c r="J281" s="1">
        <f t="shared" si="32"/>
        <v>312.00000000000017</v>
      </c>
      <c r="K281" s="8"/>
      <c r="L281" s="8"/>
      <c r="M281" s="8"/>
      <c r="N281" s="8"/>
      <c r="O281" s="8"/>
      <c r="P281" s="8"/>
      <c r="Q281" s="8"/>
      <c r="R281" s="8"/>
    </row>
    <row r="282" spans="3:18" x14ac:dyDescent="0.25">
      <c r="C282" s="1">
        <v>1001773</v>
      </c>
      <c r="D282" s="1" t="s">
        <v>136</v>
      </c>
      <c r="E282" s="2">
        <v>1680</v>
      </c>
      <c r="F282" s="3">
        <v>27300</v>
      </c>
      <c r="G282" s="1">
        <f t="shared" si="33"/>
        <v>16.25</v>
      </c>
      <c r="H282" s="1">
        <v>17.55</v>
      </c>
      <c r="I282" s="1">
        <f t="shared" si="31"/>
        <v>1.3000000000000007</v>
      </c>
      <c r="J282" s="1">
        <f t="shared" si="32"/>
        <v>2184.0000000000014</v>
      </c>
      <c r="K282" s="8"/>
      <c r="L282" s="8"/>
      <c r="M282" s="8"/>
      <c r="N282" s="8"/>
      <c r="O282" s="8"/>
      <c r="P282" s="8"/>
      <c r="Q282" s="8"/>
      <c r="R282" s="8"/>
    </row>
    <row r="283" spans="3:18" x14ac:dyDescent="0.25">
      <c r="C283" s="1">
        <v>1001773</v>
      </c>
      <c r="D283" s="1" t="s">
        <v>136</v>
      </c>
      <c r="E283" s="2">
        <v>1440</v>
      </c>
      <c r="F283" s="3">
        <v>23400</v>
      </c>
      <c r="G283" s="1">
        <f t="shared" si="33"/>
        <v>16.25</v>
      </c>
      <c r="H283" s="1">
        <v>17.55</v>
      </c>
      <c r="I283" s="1">
        <f t="shared" si="31"/>
        <v>1.3000000000000007</v>
      </c>
      <c r="J283" s="1">
        <f t="shared" si="32"/>
        <v>1872.0000000000009</v>
      </c>
      <c r="K283" s="8"/>
      <c r="L283" s="8"/>
      <c r="M283" s="8"/>
      <c r="N283" s="8"/>
      <c r="O283" s="8"/>
      <c r="P283" s="8"/>
      <c r="Q283" s="8"/>
      <c r="R283" s="8"/>
    </row>
    <row r="284" spans="3:18" x14ac:dyDescent="0.25">
      <c r="C284" s="1">
        <v>1001773</v>
      </c>
      <c r="D284" s="1" t="s">
        <v>136</v>
      </c>
      <c r="E284" s="1">
        <v>500</v>
      </c>
      <c r="F284" s="3">
        <v>8125</v>
      </c>
      <c r="G284" s="1">
        <f t="shared" si="33"/>
        <v>16.25</v>
      </c>
      <c r="H284" s="1">
        <v>17.55</v>
      </c>
      <c r="I284" s="1">
        <f t="shared" ref="I284:I315" si="34">H284-G284</f>
        <v>1.3000000000000007</v>
      </c>
      <c r="J284" s="1">
        <f t="shared" ref="J284:J315" si="35">I284*E284</f>
        <v>650.00000000000034</v>
      </c>
      <c r="K284" s="8"/>
      <c r="L284" s="8"/>
      <c r="M284" s="8"/>
      <c r="N284" s="8"/>
      <c r="O284" s="8"/>
      <c r="P284" s="8"/>
      <c r="Q284" s="8"/>
      <c r="R284" s="8"/>
    </row>
    <row r="285" spans="3:18" x14ac:dyDescent="0.25">
      <c r="C285" s="1">
        <v>1001773</v>
      </c>
      <c r="D285" s="1" t="s">
        <v>136</v>
      </c>
      <c r="E285" s="1">
        <v>299</v>
      </c>
      <c r="F285" s="3">
        <v>4858.75</v>
      </c>
      <c r="G285" s="1">
        <f t="shared" si="33"/>
        <v>16.25</v>
      </c>
      <c r="H285" s="1">
        <v>17.55</v>
      </c>
      <c r="I285" s="1">
        <f t="shared" si="34"/>
        <v>1.3000000000000007</v>
      </c>
      <c r="J285" s="1">
        <f t="shared" si="35"/>
        <v>388.70000000000022</v>
      </c>
      <c r="K285" s="8"/>
      <c r="L285" s="8"/>
      <c r="M285" s="8"/>
      <c r="N285" s="8"/>
      <c r="O285" s="8"/>
      <c r="P285" s="8"/>
      <c r="Q285" s="8"/>
      <c r="R285" s="8"/>
    </row>
    <row r="286" spans="3:18" x14ac:dyDescent="0.25">
      <c r="C286" s="1">
        <v>1001773</v>
      </c>
      <c r="D286" s="1" t="s">
        <v>136</v>
      </c>
      <c r="E286" s="2">
        <v>1301</v>
      </c>
      <c r="F286" s="3">
        <v>21141.25</v>
      </c>
      <c r="G286" s="1">
        <f t="shared" si="33"/>
        <v>16.25</v>
      </c>
      <c r="H286" s="1">
        <v>17.55</v>
      </c>
      <c r="I286" s="1">
        <f t="shared" si="34"/>
        <v>1.3000000000000007</v>
      </c>
      <c r="J286" s="1">
        <f t="shared" si="35"/>
        <v>1691.3000000000009</v>
      </c>
      <c r="K286" s="8"/>
      <c r="L286" s="8"/>
      <c r="M286" s="8"/>
      <c r="N286" s="8"/>
      <c r="O286" s="8"/>
      <c r="P286" s="8"/>
      <c r="Q286" s="8"/>
      <c r="R286" s="8"/>
    </row>
    <row r="287" spans="3:18" x14ac:dyDescent="0.25">
      <c r="C287" s="1">
        <v>1001773</v>
      </c>
      <c r="D287" s="1" t="s">
        <v>136</v>
      </c>
      <c r="E287" s="2">
        <v>1400</v>
      </c>
      <c r="F287" s="3">
        <v>22750</v>
      </c>
      <c r="G287" s="1">
        <f t="shared" si="33"/>
        <v>16.25</v>
      </c>
      <c r="H287" s="1">
        <v>17.55</v>
      </c>
      <c r="I287" s="1">
        <f t="shared" si="34"/>
        <v>1.3000000000000007</v>
      </c>
      <c r="J287" s="1">
        <f t="shared" si="35"/>
        <v>1820.0000000000009</v>
      </c>
      <c r="K287" s="8"/>
      <c r="L287" s="8"/>
      <c r="M287" s="8"/>
      <c r="N287" s="8"/>
      <c r="O287" s="8"/>
      <c r="P287" s="8"/>
      <c r="Q287" s="8"/>
      <c r="R287" s="8"/>
    </row>
    <row r="288" spans="3:18" x14ac:dyDescent="0.25">
      <c r="C288" s="1">
        <v>1001773</v>
      </c>
      <c r="D288" s="1" t="s">
        <v>136</v>
      </c>
      <c r="E288" s="2">
        <v>1680</v>
      </c>
      <c r="F288" s="3">
        <v>27300</v>
      </c>
      <c r="G288" s="1">
        <f t="shared" si="33"/>
        <v>16.25</v>
      </c>
      <c r="H288" s="1">
        <v>17.55</v>
      </c>
      <c r="I288" s="1">
        <f t="shared" si="34"/>
        <v>1.3000000000000007</v>
      </c>
      <c r="J288" s="1">
        <f t="shared" si="35"/>
        <v>2184.0000000000014</v>
      </c>
      <c r="K288" s="8"/>
      <c r="L288" s="8"/>
      <c r="M288" s="8"/>
      <c r="N288" s="8"/>
      <c r="O288" s="8"/>
      <c r="P288" s="8"/>
      <c r="Q288" s="8"/>
      <c r="R288" s="8"/>
    </row>
    <row r="289" spans="3:18" x14ac:dyDescent="0.25">
      <c r="C289" s="1">
        <v>1001773</v>
      </c>
      <c r="D289" s="1" t="s">
        <v>136</v>
      </c>
      <c r="E289" s="2">
        <v>1640</v>
      </c>
      <c r="F289" s="3">
        <v>26650</v>
      </c>
      <c r="G289" s="1">
        <f t="shared" si="33"/>
        <v>16.25</v>
      </c>
      <c r="H289" s="1">
        <v>17.55</v>
      </c>
      <c r="I289" s="1">
        <f t="shared" si="34"/>
        <v>1.3000000000000007</v>
      </c>
      <c r="J289" s="1">
        <f t="shared" si="35"/>
        <v>2132.0000000000014</v>
      </c>
      <c r="K289" s="8"/>
      <c r="L289" s="8"/>
      <c r="M289" s="8"/>
      <c r="N289" s="8"/>
      <c r="O289" s="8"/>
      <c r="P289" s="8"/>
      <c r="Q289" s="8"/>
      <c r="R289" s="8"/>
    </row>
    <row r="290" spans="3:18" x14ac:dyDescent="0.25">
      <c r="C290" s="1">
        <v>1001773</v>
      </c>
      <c r="D290" s="1" t="s">
        <v>136</v>
      </c>
      <c r="E290" s="2">
        <v>1600</v>
      </c>
      <c r="F290" s="3">
        <v>26000</v>
      </c>
      <c r="G290" s="1">
        <f t="shared" si="33"/>
        <v>16.25</v>
      </c>
      <c r="H290" s="1">
        <v>17.55</v>
      </c>
      <c r="I290" s="1">
        <f t="shared" si="34"/>
        <v>1.3000000000000007</v>
      </c>
      <c r="J290" s="1">
        <f t="shared" si="35"/>
        <v>2080.0000000000009</v>
      </c>
      <c r="K290" s="8"/>
      <c r="L290" s="8"/>
      <c r="M290" s="8"/>
      <c r="N290" s="8"/>
      <c r="O290" s="8"/>
      <c r="P290" s="8"/>
      <c r="Q290" s="8"/>
      <c r="R290" s="8"/>
    </row>
    <row r="291" spans="3:18" x14ac:dyDescent="0.25">
      <c r="C291" s="1">
        <v>1001773</v>
      </c>
      <c r="D291" s="1" t="s">
        <v>136</v>
      </c>
      <c r="E291" s="1">
        <v>740</v>
      </c>
      <c r="F291" s="3">
        <v>12025</v>
      </c>
      <c r="G291" s="1">
        <f t="shared" si="33"/>
        <v>16.25</v>
      </c>
      <c r="H291" s="1">
        <v>17.55</v>
      </c>
      <c r="I291" s="1">
        <f t="shared" si="34"/>
        <v>1.3000000000000007</v>
      </c>
      <c r="J291" s="1">
        <f t="shared" si="35"/>
        <v>962.00000000000057</v>
      </c>
      <c r="K291" s="8"/>
      <c r="L291" s="8"/>
      <c r="M291" s="8"/>
      <c r="N291" s="8"/>
      <c r="O291" s="8"/>
      <c r="P291" s="8"/>
      <c r="Q291" s="8"/>
      <c r="R291" s="8"/>
    </row>
    <row r="292" spans="3:18" x14ac:dyDescent="0.25">
      <c r="C292" s="1">
        <v>1001773</v>
      </c>
      <c r="D292" s="1" t="s">
        <v>136</v>
      </c>
      <c r="E292" s="2">
        <v>1660</v>
      </c>
      <c r="F292" s="3">
        <v>26975</v>
      </c>
      <c r="G292" s="1">
        <f t="shared" si="33"/>
        <v>16.25</v>
      </c>
      <c r="H292" s="1">
        <v>17.55</v>
      </c>
      <c r="I292" s="1">
        <f t="shared" si="34"/>
        <v>1.3000000000000007</v>
      </c>
      <c r="J292" s="1">
        <f t="shared" si="35"/>
        <v>2158.0000000000014</v>
      </c>
      <c r="K292" s="8"/>
      <c r="L292" s="8"/>
      <c r="M292" s="8"/>
      <c r="N292" s="8"/>
      <c r="O292" s="8"/>
      <c r="P292" s="8"/>
      <c r="Q292" s="8"/>
      <c r="R292" s="8"/>
    </row>
    <row r="293" spans="3:18" x14ac:dyDescent="0.25">
      <c r="C293" s="1">
        <v>1001773</v>
      </c>
      <c r="D293" s="1" t="s">
        <v>136</v>
      </c>
      <c r="E293" s="2">
        <v>910</v>
      </c>
      <c r="F293" s="3">
        <v>14787.5</v>
      </c>
      <c r="G293" s="1">
        <f t="shared" si="33"/>
        <v>16.25</v>
      </c>
      <c r="H293" s="1">
        <v>17.55</v>
      </c>
      <c r="I293" s="1">
        <f t="shared" si="34"/>
        <v>1.3000000000000007</v>
      </c>
      <c r="J293" s="1">
        <f t="shared" si="35"/>
        <v>1183.0000000000007</v>
      </c>
      <c r="K293" s="8"/>
      <c r="L293" s="8"/>
      <c r="M293" s="8"/>
      <c r="N293" s="8"/>
      <c r="O293" s="8"/>
      <c r="P293" s="8"/>
      <c r="Q293" s="8"/>
      <c r="R293" s="8"/>
    </row>
    <row r="294" spans="3:18" x14ac:dyDescent="0.25">
      <c r="C294" s="1">
        <v>1001773</v>
      </c>
      <c r="D294" s="1" t="s">
        <v>136</v>
      </c>
      <c r="E294" s="2">
        <v>1580</v>
      </c>
      <c r="F294" s="3">
        <v>25675</v>
      </c>
      <c r="G294" s="1">
        <f t="shared" si="33"/>
        <v>16.25</v>
      </c>
      <c r="H294" s="1">
        <v>17.55</v>
      </c>
      <c r="I294" s="1">
        <f t="shared" si="34"/>
        <v>1.3000000000000007</v>
      </c>
      <c r="J294" s="1">
        <f t="shared" si="35"/>
        <v>2054.0000000000009</v>
      </c>
      <c r="K294" s="8"/>
      <c r="L294" s="8"/>
      <c r="M294" s="8"/>
      <c r="N294" s="8"/>
      <c r="O294" s="8"/>
      <c r="P294" s="8"/>
      <c r="Q294" s="8"/>
      <c r="R294" s="8"/>
    </row>
    <row r="295" spans="3:18" x14ac:dyDescent="0.25">
      <c r="C295" s="1">
        <v>1001773</v>
      </c>
      <c r="D295" s="1" t="s">
        <v>136</v>
      </c>
      <c r="E295" s="2">
        <v>4240</v>
      </c>
      <c r="F295" s="3">
        <v>68900</v>
      </c>
      <c r="G295" s="1">
        <f t="shared" si="33"/>
        <v>16.25</v>
      </c>
      <c r="H295" s="1">
        <v>17.55</v>
      </c>
      <c r="I295" s="1">
        <f t="shared" si="34"/>
        <v>1.3000000000000007</v>
      </c>
      <c r="J295" s="1">
        <f t="shared" si="35"/>
        <v>5512.0000000000027</v>
      </c>
      <c r="K295" s="8"/>
      <c r="L295" s="8"/>
      <c r="M295" s="8"/>
      <c r="N295" s="8"/>
      <c r="O295" s="8"/>
      <c r="P295" s="8"/>
      <c r="Q295" s="8"/>
      <c r="R295" s="8"/>
    </row>
    <row r="296" spans="3:18" x14ac:dyDescent="0.25">
      <c r="C296" s="1">
        <v>1001773</v>
      </c>
      <c r="D296" s="1" t="s">
        <v>136</v>
      </c>
      <c r="E296" s="2">
        <v>1500</v>
      </c>
      <c r="F296" s="3">
        <v>24375</v>
      </c>
      <c r="G296" s="1">
        <f t="shared" si="33"/>
        <v>16.25</v>
      </c>
      <c r="H296" s="1">
        <v>17.55</v>
      </c>
      <c r="I296" s="1">
        <f t="shared" si="34"/>
        <v>1.3000000000000007</v>
      </c>
      <c r="J296" s="1">
        <f t="shared" si="35"/>
        <v>1950.0000000000011</v>
      </c>
      <c r="K296" s="8"/>
      <c r="L296" s="8"/>
      <c r="M296" s="8"/>
      <c r="N296" s="8"/>
      <c r="O296" s="8"/>
      <c r="P296" s="8"/>
      <c r="Q296" s="8"/>
      <c r="R296" s="8"/>
    </row>
    <row r="297" spans="3:18" x14ac:dyDescent="0.25">
      <c r="C297" s="1">
        <v>1001773</v>
      </c>
      <c r="D297" s="1" t="s">
        <v>136</v>
      </c>
      <c r="E297" s="2">
        <v>7680</v>
      </c>
      <c r="F297" s="3">
        <v>124800</v>
      </c>
      <c r="G297" s="1">
        <f t="shared" si="33"/>
        <v>16.25</v>
      </c>
      <c r="H297" s="1">
        <v>17.55</v>
      </c>
      <c r="I297" s="1">
        <f t="shared" si="34"/>
        <v>1.3000000000000007</v>
      </c>
      <c r="J297" s="1">
        <f t="shared" si="35"/>
        <v>9984.0000000000055</v>
      </c>
      <c r="K297" s="8"/>
      <c r="L297" s="8"/>
      <c r="M297" s="8"/>
      <c r="N297" s="8"/>
      <c r="O297" s="8"/>
      <c r="P297" s="8"/>
      <c r="Q297" s="8"/>
      <c r="R297" s="8"/>
    </row>
    <row r="298" spans="3:18" x14ac:dyDescent="0.25">
      <c r="C298" s="1">
        <v>1001773</v>
      </c>
      <c r="D298" s="1" t="s">
        <v>136</v>
      </c>
      <c r="E298" s="2">
        <v>4835</v>
      </c>
      <c r="F298" s="3">
        <v>78568.75</v>
      </c>
      <c r="G298" s="1">
        <f t="shared" si="33"/>
        <v>16.25</v>
      </c>
      <c r="H298" s="1">
        <v>17.55</v>
      </c>
      <c r="I298" s="1">
        <f t="shared" si="34"/>
        <v>1.3000000000000007</v>
      </c>
      <c r="J298" s="1">
        <f t="shared" si="35"/>
        <v>6285.5000000000036</v>
      </c>
      <c r="K298" s="8"/>
      <c r="L298" s="8"/>
      <c r="M298" s="8"/>
      <c r="N298" s="8"/>
      <c r="O298" s="8"/>
      <c r="P298" s="8"/>
      <c r="Q298" s="8"/>
      <c r="R298" s="8"/>
    </row>
    <row r="299" spans="3:18" x14ac:dyDescent="0.25">
      <c r="C299" s="1">
        <v>1001773</v>
      </c>
      <c r="D299" s="1" t="s">
        <v>136</v>
      </c>
      <c r="E299" s="1">
        <v>720</v>
      </c>
      <c r="F299" s="3">
        <v>11700</v>
      </c>
      <c r="G299" s="1">
        <f t="shared" si="33"/>
        <v>16.25</v>
      </c>
      <c r="H299" s="1">
        <v>17.55</v>
      </c>
      <c r="I299" s="1">
        <f t="shared" si="34"/>
        <v>1.3000000000000007</v>
      </c>
      <c r="J299" s="1">
        <f t="shared" si="35"/>
        <v>936.00000000000045</v>
      </c>
      <c r="K299" s="8"/>
      <c r="L299" s="8"/>
      <c r="M299" s="8"/>
      <c r="N299" s="8"/>
      <c r="O299" s="8"/>
      <c r="P299" s="8"/>
      <c r="Q299" s="8"/>
      <c r="R299" s="8"/>
    </row>
    <row r="300" spans="3:18" x14ac:dyDescent="0.25">
      <c r="C300" s="1">
        <v>1001906</v>
      </c>
      <c r="D300" s="1" t="s">
        <v>137</v>
      </c>
      <c r="E300" s="2">
        <v>76</v>
      </c>
      <c r="F300" s="3">
        <v>1151.4000000000001</v>
      </c>
      <c r="G300" s="1">
        <f t="shared" si="33"/>
        <v>15.15</v>
      </c>
      <c r="H300" s="1">
        <v>16.350000000000001</v>
      </c>
      <c r="I300" s="1">
        <f t="shared" si="34"/>
        <v>1.2000000000000011</v>
      </c>
      <c r="J300" s="1">
        <f t="shared" si="35"/>
        <v>91.200000000000074</v>
      </c>
      <c r="K300" s="8"/>
      <c r="L300" s="8"/>
      <c r="M300" s="8"/>
      <c r="N300" s="8"/>
      <c r="O300" s="8"/>
      <c r="P300" s="8"/>
      <c r="Q300" s="8"/>
      <c r="R300" s="8"/>
    </row>
    <row r="301" spans="3:18" x14ac:dyDescent="0.25">
      <c r="C301" s="1">
        <v>1001906</v>
      </c>
      <c r="D301" s="1" t="s">
        <v>137</v>
      </c>
      <c r="E301" s="2">
        <v>1420</v>
      </c>
      <c r="F301" s="3">
        <v>21513</v>
      </c>
      <c r="G301" s="1">
        <f t="shared" si="33"/>
        <v>15.15</v>
      </c>
      <c r="H301" s="1">
        <v>16.350000000000001</v>
      </c>
      <c r="I301" s="1">
        <f t="shared" si="34"/>
        <v>1.2000000000000011</v>
      </c>
      <c r="J301" s="1">
        <f t="shared" si="35"/>
        <v>1704.0000000000016</v>
      </c>
      <c r="K301" s="8"/>
      <c r="L301" s="8"/>
      <c r="M301" s="8"/>
      <c r="N301" s="8"/>
      <c r="O301" s="8"/>
      <c r="P301" s="8"/>
      <c r="Q301" s="8"/>
      <c r="R301" s="8"/>
    </row>
    <row r="302" spans="3:18" x14ac:dyDescent="0.25">
      <c r="C302" s="1">
        <v>1001928</v>
      </c>
      <c r="D302" s="1" t="s">
        <v>138</v>
      </c>
      <c r="E302" s="2">
        <v>1300</v>
      </c>
      <c r="F302" s="3">
        <v>21515</v>
      </c>
      <c r="G302" s="1">
        <f t="shared" si="33"/>
        <v>16.55</v>
      </c>
      <c r="H302" s="1">
        <v>17.850000000000001</v>
      </c>
      <c r="I302" s="1">
        <f t="shared" si="34"/>
        <v>1.3000000000000007</v>
      </c>
      <c r="J302" s="1">
        <f t="shared" si="35"/>
        <v>1690.0000000000009</v>
      </c>
      <c r="K302" s="8"/>
      <c r="L302" s="8"/>
      <c r="M302" s="8"/>
      <c r="N302" s="8"/>
      <c r="O302" s="8"/>
      <c r="P302" s="8"/>
      <c r="Q302" s="8"/>
      <c r="R302" s="8"/>
    </row>
    <row r="303" spans="3:18" x14ac:dyDescent="0.25">
      <c r="C303" s="1">
        <v>1001928</v>
      </c>
      <c r="D303" s="1" t="s">
        <v>138</v>
      </c>
      <c r="E303" s="2">
        <v>1680</v>
      </c>
      <c r="F303" s="3">
        <v>27804</v>
      </c>
      <c r="G303" s="1">
        <f t="shared" si="33"/>
        <v>16.55</v>
      </c>
      <c r="H303" s="1">
        <v>17.850000000000001</v>
      </c>
      <c r="I303" s="1">
        <f t="shared" si="34"/>
        <v>1.3000000000000007</v>
      </c>
      <c r="J303" s="1">
        <f t="shared" si="35"/>
        <v>2184.0000000000014</v>
      </c>
      <c r="K303" s="8"/>
      <c r="L303" s="8"/>
      <c r="M303" s="8"/>
      <c r="N303" s="8"/>
      <c r="O303" s="8"/>
      <c r="P303" s="8"/>
      <c r="Q303" s="8"/>
      <c r="R303" s="8"/>
    </row>
    <row r="304" spans="3:18" x14ac:dyDescent="0.25">
      <c r="C304" s="1">
        <v>1001928</v>
      </c>
      <c r="D304" s="1" t="s">
        <v>138</v>
      </c>
      <c r="E304" s="2">
        <v>1340</v>
      </c>
      <c r="F304" s="3">
        <v>22177</v>
      </c>
      <c r="G304" s="1">
        <f t="shared" si="33"/>
        <v>16.55</v>
      </c>
      <c r="H304" s="1">
        <v>17.850000000000001</v>
      </c>
      <c r="I304" s="1">
        <f t="shared" si="34"/>
        <v>1.3000000000000007</v>
      </c>
      <c r="J304" s="1">
        <f t="shared" si="35"/>
        <v>1742.0000000000009</v>
      </c>
      <c r="K304" s="8"/>
      <c r="L304" s="8"/>
      <c r="M304" s="8"/>
      <c r="N304" s="8"/>
      <c r="O304" s="8"/>
      <c r="P304" s="8"/>
      <c r="Q304" s="8"/>
      <c r="R304" s="8"/>
    </row>
    <row r="305" spans="3:18" x14ac:dyDescent="0.25">
      <c r="C305" s="1">
        <v>1001928</v>
      </c>
      <c r="D305" s="1" t="s">
        <v>138</v>
      </c>
      <c r="E305" s="2">
        <v>1200</v>
      </c>
      <c r="F305" s="3">
        <v>19860</v>
      </c>
      <c r="G305" s="1">
        <f t="shared" si="33"/>
        <v>16.55</v>
      </c>
      <c r="H305" s="1">
        <v>17.850000000000001</v>
      </c>
      <c r="I305" s="1">
        <f t="shared" si="34"/>
        <v>1.3000000000000007</v>
      </c>
      <c r="J305" s="1">
        <f t="shared" si="35"/>
        <v>1560.0000000000009</v>
      </c>
      <c r="K305" s="8"/>
      <c r="L305" s="8"/>
      <c r="M305" s="8"/>
      <c r="N305" s="8"/>
      <c r="O305" s="8"/>
      <c r="P305" s="8"/>
      <c r="Q305" s="8"/>
      <c r="R305" s="8"/>
    </row>
    <row r="306" spans="3:18" x14ac:dyDescent="0.25">
      <c r="C306" s="1">
        <v>1001928</v>
      </c>
      <c r="D306" s="1" t="s">
        <v>138</v>
      </c>
      <c r="E306" s="2">
        <v>1024</v>
      </c>
      <c r="F306" s="3">
        <v>16947.2</v>
      </c>
      <c r="G306" s="1">
        <f t="shared" si="33"/>
        <v>16.55</v>
      </c>
      <c r="H306" s="1">
        <v>17.850000000000001</v>
      </c>
      <c r="I306" s="1">
        <f t="shared" si="34"/>
        <v>1.3000000000000007</v>
      </c>
      <c r="J306" s="1">
        <f t="shared" si="35"/>
        <v>1331.2000000000007</v>
      </c>
      <c r="K306" s="8"/>
      <c r="L306" s="8"/>
      <c r="M306" s="8"/>
      <c r="N306" s="8"/>
      <c r="O306" s="8"/>
      <c r="P306" s="8"/>
      <c r="Q306" s="8"/>
      <c r="R306" s="8"/>
    </row>
    <row r="307" spans="3:18" x14ac:dyDescent="0.25">
      <c r="C307" s="1">
        <v>1001928</v>
      </c>
      <c r="D307" s="1" t="s">
        <v>138</v>
      </c>
      <c r="E307" s="2">
        <v>1480</v>
      </c>
      <c r="F307" s="3">
        <v>24494</v>
      </c>
      <c r="G307" s="1">
        <f t="shared" si="33"/>
        <v>16.55</v>
      </c>
      <c r="H307" s="1">
        <v>17.850000000000001</v>
      </c>
      <c r="I307" s="1">
        <f t="shared" si="34"/>
        <v>1.3000000000000007</v>
      </c>
      <c r="J307" s="1">
        <f t="shared" si="35"/>
        <v>1924.0000000000011</v>
      </c>
      <c r="K307" s="8"/>
      <c r="L307" s="8"/>
      <c r="M307" s="8"/>
      <c r="N307" s="8"/>
      <c r="O307" s="8"/>
      <c r="P307" s="8"/>
      <c r="Q307" s="8"/>
      <c r="R307" s="8"/>
    </row>
    <row r="308" spans="3:18" x14ac:dyDescent="0.25">
      <c r="C308" s="1">
        <v>1001928</v>
      </c>
      <c r="D308" s="1" t="s">
        <v>138</v>
      </c>
      <c r="E308" s="2">
        <v>1300</v>
      </c>
      <c r="F308" s="3">
        <v>21515</v>
      </c>
      <c r="G308" s="1">
        <f t="shared" si="33"/>
        <v>16.55</v>
      </c>
      <c r="H308" s="1">
        <v>17.850000000000001</v>
      </c>
      <c r="I308" s="1">
        <f t="shared" si="34"/>
        <v>1.3000000000000007</v>
      </c>
      <c r="J308" s="1">
        <f t="shared" si="35"/>
        <v>1690.0000000000009</v>
      </c>
      <c r="K308" s="8"/>
      <c r="L308" s="8"/>
      <c r="M308" s="8"/>
      <c r="N308" s="8"/>
      <c r="O308" s="8"/>
      <c r="P308" s="8"/>
      <c r="Q308" s="8"/>
      <c r="R308" s="8"/>
    </row>
    <row r="309" spans="3:18" x14ac:dyDescent="0.25">
      <c r="C309" s="1">
        <v>1001928</v>
      </c>
      <c r="D309" s="1" t="s">
        <v>138</v>
      </c>
      <c r="E309" s="2">
        <v>1600</v>
      </c>
      <c r="F309" s="3">
        <v>26480</v>
      </c>
      <c r="G309" s="1">
        <f t="shared" si="33"/>
        <v>16.55</v>
      </c>
      <c r="H309" s="1">
        <v>17.850000000000001</v>
      </c>
      <c r="I309" s="1">
        <f t="shared" si="34"/>
        <v>1.3000000000000007</v>
      </c>
      <c r="J309" s="1">
        <f t="shared" si="35"/>
        <v>2080.0000000000009</v>
      </c>
      <c r="K309" s="8"/>
      <c r="L309" s="8"/>
      <c r="M309" s="8"/>
      <c r="N309" s="8"/>
      <c r="O309" s="8"/>
      <c r="P309" s="8"/>
      <c r="Q309" s="8"/>
      <c r="R309" s="8"/>
    </row>
    <row r="310" spans="3:18" x14ac:dyDescent="0.25">
      <c r="C310" s="1">
        <v>1001928</v>
      </c>
      <c r="D310" s="1" t="s">
        <v>138</v>
      </c>
      <c r="E310" s="2">
        <v>887</v>
      </c>
      <c r="F310" s="3">
        <v>14679.85</v>
      </c>
      <c r="G310" s="1">
        <f t="shared" si="33"/>
        <v>16.55</v>
      </c>
      <c r="H310" s="1">
        <v>17.850000000000001</v>
      </c>
      <c r="I310" s="1">
        <f t="shared" si="34"/>
        <v>1.3000000000000007</v>
      </c>
      <c r="J310" s="1">
        <f t="shared" si="35"/>
        <v>1153.1000000000006</v>
      </c>
      <c r="K310" s="8"/>
      <c r="L310" s="8"/>
      <c r="M310" s="8"/>
      <c r="N310" s="8"/>
      <c r="O310" s="8"/>
      <c r="P310" s="8"/>
      <c r="Q310" s="8"/>
      <c r="R310" s="8"/>
    </row>
    <row r="311" spans="3:18" x14ac:dyDescent="0.25">
      <c r="C311" s="1">
        <v>1001928</v>
      </c>
      <c r="D311" s="1" t="s">
        <v>138</v>
      </c>
      <c r="E311" s="2">
        <v>1360</v>
      </c>
      <c r="F311" s="3">
        <v>22508</v>
      </c>
      <c r="G311" s="1">
        <f t="shared" si="33"/>
        <v>16.55</v>
      </c>
      <c r="H311" s="1">
        <v>17.850000000000001</v>
      </c>
      <c r="I311" s="1">
        <f t="shared" si="34"/>
        <v>1.3000000000000007</v>
      </c>
      <c r="J311" s="1">
        <f t="shared" si="35"/>
        <v>1768.0000000000009</v>
      </c>
      <c r="K311" s="8"/>
      <c r="L311" s="8"/>
      <c r="M311" s="8"/>
      <c r="N311" s="8"/>
      <c r="O311" s="8"/>
      <c r="P311" s="8"/>
      <c r="Q311" s="8"/>
      <c r="R311" s="8"/>
    </row>
    <row r="312" spans="3:18" x14ac:dyDescent="0.25">
      <c r="C312" s="1">
        <v>1001928</v>
      </c>
      <c r="D312" s="1" t="s">
        <v>138</v>
      </c>
      <c r="E312" s="2">
        <v>4200</v>
      </c>
      <c r="F312" s="3">
        <v>69510</v>
      </c>
      <c r="G312" s="1">
        <f t="shared" si="33"/>
        <v>16.55</v>
      </c>
      <c r="H312" s="1">
        <v>17.850000000000001</v>
      </c>
      <c r="I312" s="1">
        <f t="shared" si="34"/>
        <v>1.3000000000000007</v>
      </c>
      <c r="J312" s="1">
        <f t="shared" si="35"/>
        <v>5460.0000000000027</v>
      </c>
      <c r="K312" s="8"/>
      <c r="L312" s="8"/>
      <c r="M312" s="8"/>
      <c r="N312" s="8"/>
      <c r="O312" s="8"/>
      <c r="P312" s="8"/>
      <c r="Q312" s="8"/>
      <c r="R312" s="8"/>
    </row>
    <row r="313" spans="3:18" x14ac:dyDescent="0.25">
      <c r="C313" s="1">
        <v>1001928</v>
      </c>
      <c r="D313" s="1" t="s">
        <v>138</v>
      </c>
      <c r="E313" s="1">
        <v>200</v>
      </c>
      <c r="F313" s="3">
        <v>3310</v>
      </c>
      <c r="G313" s="1">
        <f t="shared" si="33"/>
        <v>16.55</v>
      </c>
      <c r="H313" s="1">
        <v>17.850000000000001</v>
      </c>
      <c r="I313" s="1">
        <f t="shared" si="34"/>
        <v>1.3000000000000007</v>
      </c>
      <c r="J313" s="1">
        <f t="shared" si="35"/>
        <v>260.00000000000011</v>
      </c>
      <c r="K313" s="8"/>
      <c r="L313" s="8"/>
      <c r="M313" s="8"/>
      <c r="N313" s="8"/>
      <c r="O313" s="8"/>
      <c r="P313" s="8"/>
      <c r="Q313" s="8"/>
      <c r="R313" s="8"/>
    </row>
    <row r="314" spans="3:18" x14ac:dyDescent="0.25">
      <c r="C314" s="1">
        <v>1001928</v>
      </c>
      <c r="D314" s="1" t="s">
        <v>138</v>
      </c>
      <c r="E314" s="2">
        <v>1400</v>
      </c>
      <c r="F314" s="3">
        <v>23170</v>
      </c>
      <c r="G314" s="1">
        <f t="shared" si="33"/>
        <v>16.55</v>
      </c>
      <c r="H314" s="1">
        <v>17.850000000000001</v>
      </c>
      <c r="I314" s="1">
        <f t="shared" si="34"/>
        <v>1.3000000000000007</v>
      </c>
      <c r="J314" s="1">
        <f t="shared" si="35"/>
        <v>1820.0000000000009</v>
      </c>
      <c r="K314" s="8"/>
      <c r="L314" s="8"/>
      <c r="M314" s="8"/>
      <c r="N314" s="8"/>
      <c r="O314" s="8"/>
      <c r="P314" s="8"/>
      <c r="Q314" s="8"/>
      <c r="R314" s="8"/>
    </row>
    <row r="315" spans="3:18" x14ac:dyDescent="0.25">
      <c r="C315" s="1">
        <v>1001952</v>
      </c>
      <c r="D315" s="1" t="s">
        <v>139</v>
      </c>
      <c r="E315" s="2">
        <v>1513</v>
      </c>
      <c r="F315" s="3">
        <v>22468.05</v>
      </c>
      <c r="G315" s="1">
        <f t="shared" si="33"/>
        <v>14.85</v>
      </c>
      <c r="H315" s="1">
        <v>16</v>
      </c>
      <c r="I315" s="1">
        <f t="shared" si="34"/>
        <v>1.1500000000000004</v>
      </c>
      <c r="J315" s="1">
        <f t="shared" si="35"/>
        <v>1739.9500000000005</v>
      </c>
      <c r="K315" s="8"/>
      <c r="L315" s="8"/>
      <c r="M315" s="8"/>
      <c r="N315" s="8"/>
      <c r="O315" s="8"/>
      <c r="P315" s="8"/>
      <c r="Q315" s="8"/>
      <c r="R315" s="8"/>
    </row>
    <row r="316" spans="3:18" x14ac:dyDescent="0.25">
      <c r="C316" s="1">
        <v>1001952</v>
      </c>
      <c r="D316" s="1" t="s">
        <v>139</v>
      </c>
      <c r="E316" s="2">
        <v>1800</v>
      </c>
      <c r="F316" s="3">
        <v>26730</v>
      </c>
      <c r="G316" s="1">
        <f t="shared" si="33"/>
        <v>14.85</v>
      </c>
      <c r="H316" s="1">
        <v>16</v>
      </c>
      <c r="I316" s="1">
        <f t="shared" ref="I316:I338" si="36">H316-G316</f>
        <v>1.1500000000000004</v>
      </c>
      <c r="J316" s="1">
        <f t="shared" ref="J316:J338" si="37">I316*E316</f>
        <v>2070.0000000000005</v>
      </c>
      <c r="K316" s="8"/>
      <c r="L316" s="8"/>
      <c r="M316" s="8"/>
      <c r="N316" s="8"/>
      <c r="O316" s="8"/>
      <c r="P316" s="8"/>
      <c r="Q316" s="8"/>
      <c r="R316" s="8"/>
    </row>
    <row r="317" spans="3:18" x14ac:dyDescent="0.25">
      <c r="C317" s="1">
        <v>1001952</v>
      </c>
      <c r="D317" s="1" t="s">
        <v>139</v>
      </c>
      <c r="E317" s="1">
        <v>920</v>
      </c>
      <c r="F317" s="3">
        <v>13662</v>
      </c>
      <c r="G317" s="1">
        <f t="shared" ref="G317:G338" si="38">F317/E317</f>
        <v>14.85</v>
      </c>
      <c r="H317" s="1">
        <v>16</v>
      </c>
      <c r="I317" s="1">
        <f t="shared" si="36"/>
        <v>1.1500000000000004</v>
      </c>
      <c r="J317" s="1">
        <f t="shared" si="37"/>
        <v>1058.0000000000002</v>
      </c>
      <c r="K317" s="8"/>
      <c r="L317" s="8"/>
      <c r="M317" s="8"/>
      <c r="N317" s="8"/>
      <c r="O317" s="8"/>
      <c r="P317" s="8"/>
      <c r="Q317" s="8"/>
      <c r="R317" s="8"/>
    </row>
    <row r="318" spans="3:18" x14ac:dyDescent="0.25">
      <c r="C318" s="1">
        <v>1001952</v>
      </c>
      <c r="D318" s="1" t="s">
        <v>139</v>
      </c>
      <c r="E318" s="2">
        <v>1335</v>
      </c>
      <c r="F318" s="3">
        <v>19824.75</v>
      </c>
      <c r="G318" s="1">
        <f t="shared" si="38"/>
        <v>14.85</v>
      </c>
      <c r="H318" s="1">
        <v>16</v>
      </c>
      <c r="I318" s="1">
        <f t="shared" si="36"/>
        <v>1.1500000000000004</v>
      </c>
      <c r="J318" s="1">
        <f t="shared" si="37"/>
        <v>1535.2500000000005</v>
      </c>
      <c r="K318" s="8"/>
      <c r="L318" s="8"/>
      <c r="M318" s="8"/>
      <c r="N318" s="8"/>
      <c r="O318" s="8"/>
      <c r="P318" s="8"/>
      <c r="Q318" s="8"/>
      <c r="R318" s="8"/>
    </row>
    <row r="319" spans="3:18" x14ac:dyDescent="0.25">
      <c r="C319" s="1">
        <v>1001952</v>
      </c>
      <c r="D319" s="1" t="s">
        <v>139</v>
      </c>
      <c r="E319" s="2">
        <v>2867</v>
      </c>
      <c r="F319" s="3">
        <v>42574.95</v>
      </c>
      <c r="G319" s="1">
        <f t="shared" si="38"/>
        <v>14.85</v>
      </c>
      <c r="H319" s="1">
        <v>16</v>
      </c>
      <c r="I319" s="1">
        <f t="shared" si="36"/>
        <v>1.1500000000000004</v>
      </c>
      <c r="J319" s="1">
        <f t="shared" si="37"/>
        <v>3297.0500000000011</v>
      </c>
      <c r="K319" s="8"/>
      <c r="L319" s="8"/>
      <c r="M319" s="8"/>
      <c r="N319" s="8"/>
      <c r="O319" s="8"/>
      <c r="P319" s="8"/>
      <c r="Q319" s="8"/>
      <c r="R319" s="8"/>
    </row>
    <row r="320" spans="3:18" x14ac:dyDescent="0.25">
      <c r="C320" s="1">
        <v>1001952</v>
      </c>
      <c r="D320" s="1" t="s">
        <v>139</v>
      </c>
      <c r="E320" s="2">
        <v>1820</v>
      </c>
      <c r="F320" s="3">
        <v>27027</v>
      </c>
      <c r="G320" s="1">
        <f t="shared" si="38"/>
        <v>14.85</v>
      </c>
      <c r="H320" s="1">
        <v>16</v>
      </c>
      <c r="I320" s="1">
        <f t="shared" si="36"/>
        <v>1.1500000000000004</v>
      </c>
      <c r="J320" s="1">
        <f t="shared" si="37"/>
        <v>2093.0000000000005</v>
      </c>
      <c r="K320" s="8"/>
      <c r="L320" s="8"/>
      <c r="M320" s="8"/>
      <c r="N320" s="8"/>
      <c r="O320" s="8"/>
      <c r="P320" s="8"/>
      <c r="Q320" s="8"/>
      <c r="R320" s="8"/>
    </row>
    <row r="321" spans="3:18" x14ac:dyDescent="0.25">
      <c r="C321" s="1">
        <v>1001952</v>
      </c>
      <c r="D321" s="1" t="s">
        <v>139</v>
      </c>
      <c r="E321" s="2">
        <v>1114</v>
      </c>
      <c r="F321" s="3">
        <v>16542.900000000001</v>
      </c>
      <c r="G321" s="1">
        <f t="shared" si="38"/>
        <v>14.850000000000001</v>
      </c>
      <c r="H321" s="1">
        <v>16</v>
      </c>
      <c r="I321" s="1">
        <f t="shared" si="36"/>
        <v>1.1499999999999986</v>
      </c>
      <c r="J321" s="1">
        <f t="shared" si="37"/>
        <v>1281.0999999999983</v>
      </c>
      <c r="K321" s="8"/>
      <c r="L321" s="8"/>
      <c r="M321" s="8"/>
      <c r="N321" s="8"/>
      <c r="O321" s="8"/>
      <c r="P321" s="8"/>
      <c r="Q321" s="8"/>
      <c r="R321" s="8"/>
    </row>
    <row r="322" spans="3:18" x14ac:dyDescent="0.25">
      <c r="C322" s="1">
        <v>1002126</v>
      </c>
      <c r="D322" s="1" t="s">
        <v>140</v>
      </c>
      <c r="E322" s="1">
        <v>223</v>
      </c>
      <c r="F322" s="3">
        <v>3813.3</v>
      </c>
      <c r="G322" s="1">
        <f t="shared" si="38"/>
        <v>17.100000000000001</v>
      </c>
      <c r="H322" s="1">
        <v>18.45</v>
      </c>
      <c r="I322" s="1">
        <f t="shared" si="36"/>
        <v>1.3499999999999979</v>
      </c>
      <c r="J322" s="1">
        <f t="shared" si="37"/>
        <v>301.0499999999995</v>
      </c>
      <c r="K322" s="8"/>
      <c r="L322" s="8"/>
      <c r="M322" s="8"/>
      <c r="N322" s="8"/>
      <c r="O322" s="8"/>
      <c r="P322" s="8"/>
      <c r="Q322" s="8"/>
      <c r="R322" s="8"/>
    </row>
    <row r="323" spans="3:18" x14ac:dyDescent="0.25">
      <c r="C323" s="1">
        <v>1002126</v>
      </c>
      <c r="D323" s="1" t="s">
        <v>140</v>
      </c>
      <c r="E323" s="1">
        <v>79</v>
      </c>
      <c r="F323" s="3">
        <v>1350.9</v>
      </c>
      <c r="G323" s="1">
        <f t="shared" si="38"/>
        <v>17.100000000000001</v>
      </c>
      <c r="H323" s="1">
        <v>18.45</v>
      </c>
      <c r="I323" s="1">
        <f t="shared" si="36"/>
        <v>1.3499999999999979</v>
      </c>
      <c r="J323" s="1">
        <f t="shared" si="37"/>
        <v>106.64999999999984</v>
      </c>
      <c r="K323" s="8"/>
      <c r="L323" s="8"/>
      <c r="M323" s="8"/>
      <c r="N323" s="8"/>
      <c r="O323" s="8"/>
      <c r="P323" s="8"/>
      <c r="Q323" s="8"/>
      <c r="R323" s="8"/>
    </row>
    <row r="324" spans="3:18" x14ac:dyDescent="0.25">
      <c r="C324" s="1">
        <v>1002126</v>
      </c>
      <c r="D324" s="1" t="s">
        <v>140</v>
      </c>
      <c r="E324" s="1">
        <v>580</v>
      </c>
      <c r="F324" s="3">
        <v>9918</v>
      </c>
      <c r="G324" s="1">
        <f t="shared" si="38"/>
        <v>17.100000000000001</v>
      </c>
      <c r="H324" s="1">
        <v>18.45</v>
      </c>
      <c r="I324" s="1">
        <f t="shared" si="36"/>
        <v>1.3499999999999979</v>
      </c>
      <c r="J324" s="1">
        <f t="shared" si="37"/>
        <v>782.99999999999875</v>
      </c>
      <c r="K324" s="8"/>
      <c r="L324" s="8"/>
      <c r="M324" s="8"/>
      <c r="N324" s="8"/>
      <c r="O324" s="8"/>
      <c r="P324" s="8"/>
      <c r="Q324" s="8"/>
      <c r="R324" s="8"/>
    </row>
    <row r="325" spans="3:18" x14ac:dyDescent="0.25">
      <c r="C325" s="1">
        <v>1002184</v>
      </c>
      <c r="D325" s="1" t="s">
        <v>141</v>
      </c>
      <c r="E325" s="2">
        <v>2800</v>
      </c>
      <c r="F325" s="3">
        <v>54740</v>
      </c>
      <c r="G325" s="1">
        <f t="shared" si="38"/>
        <v>19.55</v>
      </c>
      <c r="H325" s="1">
        <v>21.1</v>
      </c>
      <c r="I325" s="1">
        <f t="shared" si="36"/>
        <v>1.5500000000000007</v>
      </c>
      <c r="J325" s="1">
        <f t="shared" si="37"/>
        <v>4340.0000000000018</v>
      </c>
      <c r="K325" s="8"/>
      <c r="L325" s="8"/>
      <c r="M325" s="8"/>
      <c r="N325" s="8"/>
      <c r="O325" s="8"/>
      <c r="P325" s="8"/>
      <c r="Q325" s="8"/>
      <c r="R325" s="8"/>
    </row>
    <row r="326" spans="3:18" x14ac:dyDescent="0.25">
      <c r="C326" s="1">
        <v>1002184</v>
      </c>
      <c r="D326" s="1" t="s">
        <v>141</v>
      </c>
      <c r="E326" s="2">
        <v>1560</v>
      </c>
      <c r="F326" s="3">
        <v>30498</v>
      </c>
      <c r="G326" s="1">
        <f t="shared" si="38"/>
        <v>19.55</v>
      </c>
      <c r="H326" s="1">
        <v>21.1</v>
      </c>
      <c r="I326" s="1">
        <f t="shared" si="36"/>
        <v>1.5500000000000007</v>
      </c>
      <c r="J326" s="1">
        <f t="shared" si="37"/>
        <v>2418.0000000000009</v>
      </c>
      <c r="K326" s="8"/>
      <c r="L326" s="8"/>
      <c r="M326" s="8"/>
      <c r="N326" s="8"/>
      <c r="O326" s="8"/>
      <c r="P326" s="8"/>
      <c r="Q326" s="8"/>
      <c r="R326" s="8"/>
    </row>
    <row r="327" spans="3:18" x14ac:dyDescent="0.25">
      <c r="C327" s="1">
        <v>1002184</v>
      </c>
      <c r="D327" s="1" t="s">
        <v>141</v>
      </c>
      <c r="E327" s="2">
        <v>1252</v>
      </c>
      <c r="F327" s="3">
        <v>24476.6</v>
      </c>
      <c r="G327" s="1">
        <f t="shared" si="38"/>
        <v>19.549999999999997</v>
      </c>
      <c r="H327" s="1">
        <v>21.1</v>
      </c>
      <c r="I327" s="1">
        <f t="shared" si="36"/>
        <v>1.5500000000000043</v>
      </c>
      <c r="J327" s="1">
        <f t="shared" si="37"/>
        <v>1940.6000000000054</v>
      </c>
      <c r="K327" s="8"/>
      <c r="L327" s="8"/>
      <c r="M327" s="8"/>
      <c r="N327" s="8"/>
      <c r="O327" s="8"/>
      <c r="P327" s="8"/>
      <c r="Q327" s="8"/>
      <c r="R327" s="8"/>
    </row>
    <row r="328" spans="3:18" x14ac:dyDescent="0.25">
      <c r="C328" s="1">
        <v>1002184</v>
      </c>
      <c r="D328" s="1" t="s">
        <v>141</v>
      </c>
      <c r="E328" s="2">
        <v>1560</v>
      </c>
      <c r="F328" s="3">
        <v>30498</v>
      </c>
      <c r="G328" s="1">
        <f t="shared" si="38"/>
        <v>19.55</v>
      </c>
      <c r="H328" s="1">
        <v>21.1</v>
      </c>
      <c r="I328" s="1">
        <f t="shared" si="36"/>
        <v>1.5500000000000007</v>
      </c>
      <c r="J328" s="1">
        <f t="shared" si="37"/>
        <v>2418.0000000000009</v>
      </c>
      <c r="K328" s="8"/>
      <c r="L328" s="8"/>
      <c r="M328" s="8"/>
      <c r="N328" s="8"/>
      <c r="O328" s="8"/>
      <c r="P328" s="8"/>
      <c r="Q328" s="8"/>
      <c r="R328" s="8"/>
    </row>
    <row r="329" spans="3:18" x14ac:dyDescent="0.25">
      <c r="C329" s="1">
        <v>1002184</v>
      </c>
      <c r="D329" s="1" t="s">
        <v>141</v>
      </c>
      <c r="E329" s="2">
        <v>1560</v>
      </c>
      <c r="F329" s="3">
        <v>30498</v>
      </c>
      <c r="G329" s="1">
        <f t="shared" si="38"/>
        <v>19.55</v>
      </c>
      <c r="H329" s="1">
        <v>21.1</v>
      </c>
      <c r="I329" s="1">
        <f t="shared" si="36"/>
        <v>1.5500000000000007</v>
      </c>
      <c r="J329" s="1">
        <f t="shared" si="37"/>
        <v>2418.0000000000009</v>
      </c>
      <c r="K329" s="8"/>
      <c r="L329" s="8"/>
      <c r="M329" s="8"/>
      <c r="N329" s="8"/>
      <c r="O329" s="8"/>
      <c r="P329" s="8"/>
      <c r="Q329" s="8"/>
      <c r="R329" s="8"/>
    </row>
    <row r="330" spans="3:18" x14ac:dyDescent="0.25">
      <c r="C330" s="1">
        <v>1002184</v>
      </c>
      <c r="D330" s="1" t="s">
        <v>141</v>
      </c>
      <c r="E330" s="2">
        <v>1140</v>
      </c>
      <c r="F330" s="3">
        <v>22287</v>
      </c>
      <c r="G330" s="1">
        <f t="shared" si="38"/>
        <v>19.55</v>
      </c>
      <c r="H330" s="1">
        <v>21.1</v>
      </c>
      <c r="I330" s="1">
        <f t="shared" si="36"/>
        <v>1.5500000000000007</v>
      </c>
      <c r="J330" s="1">
        <f t="shared" si="37"/>
        <v>1767.0000000000009</v>
      </c>
      <c r="K330" s="8"/>
      <c r="L330" s="8"/>
      <c r="M330" s="8"/>
      <c r="N330" s="8"/>
      <c r="O330" s="8"/>
      <c r="P330" s="8"/>
      <c r="Q330" s="8"/>
      <c r="R330" s="8"/>
    </row>
    <row r="331" spans="3:18" x14ac:dyDescent="0.25">
      <c r="C331" s="1">
        <v>1002184</v>
      </c>
      <c r="D331" s="1" t="s">
        <v>141</v>
      </c>
      <c r="E331" s="2">
        <v>1219</v>
      </c>
      <c r="F331" s="3">
        <v>23831.45</v>
      </c>
      <c r="G331" s="1">
        <f t="shared" si="38"/>
        <v>19.55</v>
      </c>
      <c r="H331" s="1">
        <v>21.1</v>
      </c>
      <c r="I331" s="1">
        <f t="shared" si="36"/>
        <v>1.5500000000000007</v>
      </c>
      <c r="J331" s="1">
        <f t="shared" si="37"/>
        <v>1889.450000000001</v>
      </c>
      <c r="K331" s="8"/>
      <c r="L331" s="8"/>
      <c r="M331" s="8"/>
      <c r="N331" s="8"/>
      <c r="O331" s="8"/>
      <c r="P331" s="8"/>
      <c r="Q331" s="8"/>
      <c r="R331" s="8"/>
    </row>
    <row r="332" spans="3:18" x14ac:dyDescent="0.25">
      <c r="C332" s="1">
        <v>1002184</v>
      </c>
      <c r="D332" s="1" t="s">
        <v>141</v>
      </c>
      <c r="E332" s="2">
        <v>1400</v>
      </c>
      <c r="F332" s="3">
        <v>27370</v>
      </c>
      <c r="G332" s="1">
        <f t="shared" si="38"/>
        <v>19.55</v>
      </c>
      <c r="H332" s="1">
        <v>21.1</v>
      </c>
      <c r="I332" s="1">
        <f t="shared" si="36"/>
        <v>1.5500000000000007</v>
      </c>
      <c r="J332" s="1">
        <f t="shared" si="37"/>
        <v>2170.0000000000009</v>
      </c>
      <c r="K332" s="8"/>
      <c r="L332" s="8"/>
      <c r="M332" s="8"/>
      <c r="N332" s="8"/>
      <c r="O332" s="8"/>
      <c r="P332" s="8"/>
      <c r="Q332" s="8"/>
      <c r="R332" s="8"/>
    </row>
    <row r="333" spans="3:18" x14ac:dyDescent="0.25">
      <c r="C333" s="1">
        <v>1002184</v>
      </c>
      <c r="D333" s="1" t="s">
        <v>141</v>
      </c>
      <c r="E333" s="2">
        <v>1200</v>
      </c>
      <c r="F333" s="3">
        <v>23460</v>
      </c>
      <c r="G333" s="1">
        <f t="shared" si="38"/>
        <v>19.55</v>
      </c>
      <c r="H333" s="1">
        <v>21.1</v>
      </c>
      <c r="I333" s="1">
        <f t="shared" si="36"/>
        <v>1.5500000000000007</v>
      </c>
      <c r="J333" s="1">
        <f t="shared" si="37"/>
        <v>1860.0000000000009</v>
      </c>
      <c r="K333" s="8"/>
      <c r="L333" s="8"/>
      <c r="M333" s="8"/>
      <c r="N333" s="8"/>
      <c r="O333" s="8"/>
      <c r="P333" s="8"/>
      <c r="Q333" s="8"/>
      <c r="R333" s="8"/>
    </row>
    <row r="334" spans="3:18" x14ac:dyDescent="0.25">
      <c r="C334" s="1">
        <v>1002257</v>
      </c>
      <c r="D334" s="1" t="s">
        <v>142</v>
      </c>
      <c r="E334" s="1">
        <v>502</v>
      </c>
      <c r="F334" s="3">
        <v>7253.9</v>
      </c>
      <c r="G334" s="1">
        <f t="shared" si="38"/>
        <v>14.45</v>
      </c>
      <c r="H334" s="1">
        <v>15.6</v>
      </c>
      <c r="I334" s="1">
        <f t="shared" si="36"/>
        <v>1.1500000000000004</v>
      </c>
      <c r="J334" s="1">
        <f t="shared" si="37"/>
        <v>577.30000000000018</v>
      </c>
      <c r="K334" s="8"/>
      <c r="L334" s="8"/>
      <c r="M334" s="8"/>
      <c r="N334" s="8"/>
      <c r="O334" s="8"/>
      <c r="P334" s="8"/>
      <c r="Q334" s="8"/>
      <c r="R334" s="8"/>
    </row>
    <row r="335" spans="3:18" x14ac:dyDescent="0.25">
      <c r="C335" s="1">
        <v>1002257</v>
      </c>
      <c r="D335" s="1" t="s">
        <v>142</v>
      </c>
      <c r="E335" s="1">
        <v>502</v>
      </c>
      <c r="F335" s="3">
        <v>7253.9</v>
      </c>
      <c r="G335" s="1">
        <f t="shared" si="38"/>
        <v>14.45</v>
      </c>
      <c r="H335" s="1">
        <v>15.6</v>
      </c>
      <c r="I335" s="1">
        <f t="shared" si="36"/>
        <v>1.1500000000000004</v>
      </c>
      <c r="J335" s="1">
        <f t="shared" si="37"/>
        <v>577.30000000000018</v>
      </c>
      <c r="K335" s="8"/>
      <c r="L335" s="8"/>
      <c r="M335" s="8"/>
      <c r="N335" s="8"/>
      <c r="O335" s="8"/>
      <c r="P335" s="8"/>
      <c r="Q335" s="8"/>
      <c r="R335" s="8"/>
    </row>
    <row r="336" spans="3:18" x14ac:dyDescent="0.25">
      <c r="C336" s="1">
        <v>1002403</v>
      </c>
      <c r="D336" s="1" t="s">
        <v>143</v>
      </c>
      <c r="E336" s="1">
        <v>500</v>
      </c>
      <c r="F336" s="3">
        <v>9025</v>
      </c>
      <c r="G336" s="1">
        <f t="shared" si="38"/>
        <v>18.05</v>
      </c>
      <c r="H336" s="1">
        <v>19.399999999999999</v>
      </c>
      <c r="I336" s="1">
        <f t="shared" si="36"/>
        <v>1.3499999999999979</v>
      </c>
      <c r="J336" s="1">
        <f t="shared" si="37"/>
        <v>674.99999999999898</v>
      </c>
      <c r="K336" s="8"/>
      <c r="L336" s="8"/>
      <c r="M336" s="8"/>
      <c r="N336" s="8"/>
      <c r="O336" s="8"/>
      <c r="P336" s="8"/>
      <c r="Q336" s="8"/>
      <c r="R336" s="8"/>
    </row>
    <row r="337" spans="3:18" x14ac:dyDescent="0.25">
      <c r="C337" s="1">
        <v>1002403</v>
      </c>
      <c r="D337" s="1" t="s">
        <v>143</v>
      </c>
      <c r="E337" s="1">
        <v>882</v>
      </c>
      <c r="F337" s="3">
        <v>15920.1</v>
      </c>
      <c r="G337" s="1">
        <f t="shared" si="38"/>
        <v>18.05</v>
      </c>
      <c r="H337" s="1">
        <v>19.399999999999999</v>
      </c>
      <c r="I337" s="1">
        <f t="shared" si="36"/>
        <v>1.3499999999999979</v>
      </c>
      <c r="J337" s="1">
        <f t="shared" si="37"/>
        <v>1190.6999999999982</v>
      </c>
      <c r="K337" s="8"/>
      <c r="L337" s="8"/>
      <c r="M337" s="8"/>
      <c r="N337" s="8"/>
      <c r="O337" s="8"/>
      <c r="P337" s="8"/>
      <c r="Q337" s="8"/>
      <c r="R337" s="8"/>
    </row>
    <row r="338" spans="3:18" x14ac:dyDescent="0.25">
      <c r="C338" s="1">
        <v>1002648</v>
      </c>
      <c r="D338" s="1" t="s">
        <v>144</v>
      </c>
      <c r="E338" s="1">
        <v>999</v>
      </c>
      <c r="F338" s="3">
        <v>16983</v>
      </c>
      <c r="G338" s="1">
        <f t="shared" si="38"/>
        <v>17</v>
      </c>
      <c r="H338" s="1">
        <v>18.3</v>
      </c>
      <c r="I338" s="1">
        <f t="shared" si="36"/>
        <v>1.3000000000000007</v>
      </c>
      <c r="J338" s="1">
        <f t="shared" si="37"/>
        <v>1298.7000000000007</v>
      </c>
      <c r="K338" s="8"/>
      <c r="L338" s="8"/>
      <c r="M338" s="8"/>
      <c r="N338" s="8"/>
      <c r="O338" s="8"/>
      <c r="P338" s="8"/>
      <c r="Q338" s="8"/>
      <c r="R338" s="8"/>
    </row>
    <row r="339" spans="3:18" x14ac:dyDescent="0.25">
      <c r="C339" s="1"/>
      <c r="D339" s="1"/>
      <c r="E339" s="5">
        <f>SUM(E252:E338)</f>
        <v>115732</v>
      </c>
      <c r="F339" s="1"/>
      <c r="G339" s="1"/>
      <c r="H339" s="1"/>
      <c r="I339" s="1"/>
      <c r="J339" s="5">
        <f>SUM(J252:J338)</f>
        <v>150848.25</v>
      </c>
      <c r="K339" s="8"/>
      <c r="L339" s="8"/>
      <c r="M339" s="8"/>
      <c r="N339" s="8"/>
      <c r="O339" s="8"/>
      <c r="P339" s="8"/>
      <c r="Q339" s="8"/>
      <c r="R339" s="8"/>
    </row>
    <row r="342" spans="3:18" x14ac:dyDescent="0.25">
      <c r="C342" s="1"/>
      <c r="D342" s="1" t="s">
        <v>147</v>
      </c>
      <c r="E342" s="1"/>
      <c r="F342" s="1"/>
      <c r="G342" s="1"/>
      <c r="H342" s="1"/>
      <c r="I342" s="1"/>
      <c r="J342" s="1"/>
      <c r="K342" s="8"/>
      <c r="L342" s="8"/>
      <c r="M342" s="8"/>
      <c r="N342" s="8"/>
      <c r="O342" s="8"/>
      <c r="P342" s="8"/>
    </row>
    <row r="343" spans="3:18" x14ac:dyDescent="0.25">
      <c r="C343" s="1"/>
      <c r="D343" s="1"/>
      <c r="E343" s="1"/>
      <c r="F343" s="1"/>
      <c r="G343" s="1" t="s">
        <v>246</v>
      </c>
      <c r="H343" s="1" t="s">
        <v>247</v>
      </c>
      <c r="I343" s="1" t="s">
        <v>145</v>
      </c>
      <c r="J343" s="1" t="s">
        <v>244</v>
      </c>
      <c r="K343" s="8"/>
      <c r="L343" s="8"/>
      <c r="M343" s="8"/>
      <c r="N343" s="8"/>
      <c r="O343" s="8"/>
      <c r="P343" s="8"/>
    </row>
    <row r="344" spans="3:18" x14ac:dyDescent="0.25">
      <c r="C344" s="1">
        <v>1000204</v>
      </c>
      <c r="D344" s="1" t="s">
        <v>131</v>
      </c>
      <c r="E344" s="2">
        <v>3300</v>
      </c>
      <c r="F344" s="3">
        <v>60060</v>
      </c>
      <c r="G344" s="1">
        <f t="shared" ref="G344:G359" si="39">F344/E344</f>
        <v>18.2</v>
      </c>
      <c r="H344" s="1">
        <v>19.649999999999999</v>
      </c>
      <c r="I344" s="1">
        <f t="shared" ref="I344:I359" si="40">H344-G344</f>
        <v>1.4499999999999993</v>
      </c>
      <c r="J344" s="1">
        <f t="shared" ref="J344:J359" si="41">I344*E344</f>
        <v>4784.9999999999973</v>
      </c>
      <c r="K344" s="8"/>
      <c r="L344" s="8"/>
      <c r="M344" s="8"/>
      <c r="N344" s="8"/>
      <c r="O344" s="8"/>
      <c r="P344" s="8"/>
    </row>
    <row r="345" spans="3:18" x14ac:dyDescent="0.25">
      <c r="C345" s="1">
        <v>1000205</v>
      </c>
      <c r="D345" s="1" t="s">
        <v>148</v>
      </c>
      <c r="E345" s="2">
        <v>2500</v>
      </c>
      <c r="F345" s="3">
        <v>41375</v>
      </c>
      <c r="G345" s="1">
        <f t="shared" si="39"/>
        <v>16.55</v>
      </c>
      <c r="H345" s="1">
        <v>17.850000000000001</v>
      </c>
      <c r="I345" s="1">
        <f t="shared" si="40"/>
        <v>1.3000000000000007</v>
      </c>
      <c r="J345" s="1">
        <f t="shared" si="41"/>
        <v>3250.0000000000018</v>
      </c>
      <c r="K345" s="8"/>
      <c r="L345" s="8"/>
      <c r="M345" s="8"/>
      <c r="N345" s="8"/>
      <c r="O345" s="8"/>
      <c r="P345" s="8"/>
    </row>
    <row r="346" spans="3:18" x14ac:dyDescent="0.25">
      <c r="C346" s="1">
        <v>1000211</v>
      </c>
      <c r="D346" s="1" t="s">
        <v>132</v>
      </c>
      <c r="E346" s="2">
        <v>5000</v>
      </c>
      <c r="F346" s="3">
        <v>86750</v>
      </c>
      <c r="G346" s="1">
        <f t="shared" si="39"/>
        <v>17.350000000000001</v>
      </c>
      <c r="H346" s="1">
        <v>18.7</v>
      </c>
      <c r="I346" s="1">
        <f t="shared" si="40"/>
        <v>1.3499999999999979</v>
      </c>
      <c r="J346" s="1">
        <f t="shared" si="41"/>
        <v>6749.9999999999891</v>
      </c>
      <c r="K346" s="8"/>
      <c r="L346" s="8"/>
      <c r="M346" s="8"/>
      <c r="N346" s="8"/>
      <c r="O346" s="8"/>
      <c r="P346" s="8"/>
    </row>
    <row r="347" spans="3:18" x14ac:dyDescent="0.25">
      <c r="C347" s="1">
        <v>1000211</v>
      </c>
      <c r="D347" s="1" t="s">
        <v>132</v>
      </c>
      <c r="E347" s="2">
        <v>2013</v>
      </c>
      <c r="F347" s="3">
        <v>34925.550000000003</v>
      </c>
      <c r="G347" s="1">
        <f t="shared" si="39"/>
        <v>17.350000000000001</v>
      </c>
      <c r="H347" s="1">
        <v>18.7</v>
      </c>
      <c r="I347" s="1">
        <f t="shared" si="40"/>
        <v>1.3499999999999979</v>
      </c>
      <c r="J347" s="1">
        <f t="shared" si="41"/>
        <v>2717.5499999999956</v>
      </c>
      <c r="K347" s="8"/>
      <c r="L347" s="8"/>
      <c r="M347" s="8"/>
      <c r="N347" s="8"/>
      <c r="O347" s="8"/>
      <c r="P347" s="8"/>
    </row>
    <row r="348" spans="3:18" x14ac:dyDescent="0.25">
      <c r="C348" s="1">
        <v>1000211</v>
      </c>
      <c r="D348" s="1" t="s">
        <v>132</v>
      </c>
      <c r="E348" s="2">
        <v>4000</v>
      </c>
      <c r="F348" s="3">
        <v>69400</v>
      </c>
      <c r="G348" s="1">
        <f t="shared" si="39"/>
        <v>17.350000000000001</v>
      </c>
      <c r="H348" s="1">
        <v>18.7</v>
      </c>
      <c r="I348" s="1">
        <f t="shared" si="40"/>
        <v>1.3499999999999979</v>
      </c>
      <c r="J348" s="1">
        <f t="shared" si="41"/>
        <v>5399.9999999999918</v>
      </c>
      <c r="K348" s="8"/>
      <c r="L348" s="8"/>
      <c r="M348" s="8"/>
      <c r="N348" s="8"/>
      <c r="O348" s="8"/>
      <c r="P348" s="8"/>
    </row>
    <row r="349" spans="3:18" x14ac:dyDescent="0.25">
      <c r="C349" s="1">
        <v>1001314</v>
      </c>
      <c r="D349" s="1" t="s">
        <v>149</v>
      </c>
      <c r="E349" s="2">
        <v>1047</v>
      </c>
      <c r="F349" s="3">
        <v>12564</v>
      </c>
      <c r="G349" s="1">
        <f t="shared" si="39"/>
        <v>12</v>
      </c>
      <c r="H349" s="1">
        <v>12.85</v>
      </c>
      <c r="I349" s="1">
        <f t="shared" si="40"/>
        <v>0.84999999999999964</v>
      </c>
      <c r="J349" s="1">
        <f t="shared" si="41"/>
        <v>889.94999999999959</v>
      </c>
      <c r="K349" s="8"/>
      <c r="L349" s="8"/>
      <c r="M349" s="8"/>
      <c r="N349" s="8"/>
      <c r="O349" s="8"/>
      <c r="P349" s="8"/>
    </row>
    <row r="350" spans="3:18" x14ac:dyDescent="0.25">
      <c r="C350" s="1">
        <v>1001314</v>
      </c>
      <c r="D350" s="1" t="s">
        <v>149</v>
      </c>
      <c r="E350" s="2">
        <v>1053</v>
      </c>
      <c r="F350" s="3">
        <v>12636</v>
      </c>
      <c r="G350" s="1">
        <f t="shared" si="39"/>
        <v>12</v>
      </c>
      <c r="H350" s="1">
        <v>12.85</v>
      </c>
      <c r="I350" s="1">
        <f t="shared" si="40"/>
        <v>0.84999999999999964</v>
      </c>
      <c r="J350" s="1">
        <f t="shared" si="41"/>
        <v>895.04999999999961</v>
      </c>
      <c r="K350" s="8"/>
      <c r="L350" s="8"/>
      <c r="M350" s="8"/>
      <c r="N350" s="8"/>
      <c r="O350" s="8"/>
      <c r="P350" s="8"/>
    </row>
    <row r="351" spans="3:18" x14ac:dyDescent="0.25">
      <c r="C351" s="1">
        <v>1001737</v>
      </c>
      <c r="D351" s="1" t="s">
        <v>150</v>
      </c>
      <c r="E351" s="1">
        <v>588</v>
      </c>
      <c r="F351" s="3">
        <v>14112</v>
      </c>
      <c r="G351" s="1">
        <f t="shared" si="39"/>
        <v>24</v>
      </c>
      <c r="H351" s="1">
        <v>25.2</v>
      </c>
      <c r="I351" s="1">
        <f t="shared" si="40"/>
        <v>1.1999999999999993</v>
      </c>
      <c r="J351" s="1">
        <f t="shared" si="41"/>
        <v>705.59999999999957</v>
      </c>
      <c r="K351" s="8"/>
      <c r="L351" s="8"/>
      <c r="M351" s="8"/>
      <c r="N351" s="8"/>
      <c r="O351" s="8"/>
      <c r="P351" s="8"/>
    </row>
    <row r="352" spans="3:18" x14ac:dyDescent="0.25">
      <c r="C352" s="1">
        <v>1001773</v>
      </c>
      <c r="D352" s="1" t="s">
        <v>136</v>
      </c>
      <c r="E352" s="2">
        <v>3290</v>
      </c>
      <c r="F352" s="3">
        <v>53462.5</v>
      </c>
      <c r="G352" s="1">
        <f t="shared" si="39"/>
        <v>16.25</v>
      </c>
      <c r="H352" s="1">
        <v>17.55</v>
      </c>
      <c r="I352" s="1">
        <f t="shared" si="40"/>
        <v>1.3000000000000007</v>
      </c>
      <c r="J352" s="1">
        <f t="shared" si="41"/>
        <v>4277.0000000000027</v>
      </c>
      <c r="K352" s="8"/>
      <c r="L352" s="8"/>
      <c r="M352" s="8"/>
      <c r="N352" s="8"/>
      <c r="O352" s="8"/>
      <c r="P352" s="8"/>
    </row>
    <row r="353" spans="3:16" x14ac:dyDescent="0.25">
      <c r="C353" s="1">
        <v>1001773</v>
      </c>
      <c r="D353" s="1" t="s">
        <v>136</v>
      </c>
      <c r="E353" s="2">
        <v>1210</v>
      </c>
      <c r="F353" s="3">
        <v>19662.5</v>
      </c>
      <c r="G353" s="1">
        <f t="shared" si="39"/>
        <v>16.25</v>
      </c>
      <c r="H353" s="1">
        <v>17.55</v>
      </c>
      <c r="I353" s="1">
        <f t="shared" si="40"/>
        <v>1.3000000000000007</v>
      </c>
      <c r="J353" s="1">
        <f t="shared" si="41"/>
        <v>1573.0000000000009</v>
      </c>
      <c r="K353" s="8"/>
      <c r="L353" s="8"/>
      <c r="M353" s="8"/>
      <c r="N353" s="8"/>
      <c r="O353" s="8"/>
      <c r="P353" s="8"/>
    </row>
    <row r="354" spans="3:16" x14ac:dyDescent="0.25">
      <c r="C354" s="1">
        <v>1001773</v>
      </c>
      <c r="D354" s="1" t="s">
        <v>136</v>
      </c>
      <c r="E354" s="1">
        <v>660</v>
      </c>
      <c r="F354" s="3">
        <v>10725</v>
      </c>
      <c r="G354" s="1">
        <f t="shared" si="39"/>
        <v>16.25</v>
      </c>
      <c r="H354" s="1">
        <v>17.55</v>
      </c>
      <c r="I354" s="1">
        <f t="shared" si="40"/>
        <v>1.3000000000000007</v>
      </c>
      <c r="J354" s="1">
        <f t="shared" si="41"/>
        <v>858.00000000000045</v>
      </c>
      <c r="K354" s="8"/>
      <c r="L354" s="8"/>
      <c r="M354" s="8"/>
      <c r="N354" s="8"/>
      <c r="O354" s="8"/>
      <c r="P354" s="8"/>
    </row>
    <row r="355" spans="3:16" x14ac:dyDescent="0.25">
      <c r="C355" s="1">
        <v>1001773</v>
      </c>
      <c r="D355" s="1" t="s">
        <v>136</v>
      </c>
      <c r="E355" s="2">
        <v>3650</v>
      </c>
      <c r="F355" s="3">
        <v>59312.5</v>
      </c>
      <c r="G355" s="1">
        <f t="shared" si="39"/>
        <v>16.25</v>
      </c>
      <c r="H355" s="1">
        <v>17.55</v>
      </c>
      <c r="I355" s="1">
        <f t="shared" si="40"/>
        <v>1.3000000000000007</v>
      </c>
      <c r="J355" s="1">
        <f t="shared" si="41"/>
        <v>4745.0000000000027</v>
      </c>
      <c r="K355" s="8"/>
      <c r="L355" s="8"/>
      <c r="M355" s="8"/>
      <c r="N355" s="8"/>
      <c r="O355" s="8"/>
      <c r="P355" s="8"/>
    </row>
    <row r="356" spans="3:16" x14ac:dyDescent="0.25">
      <c r="C356" s="1">
        <v>1001773</v>
      </c>
      <c r="D356" s="1" t="s">
        <v>136</v>
      </c>
      <c r="E356" s="2">
        <v>1005</v>
      </c>
      <c r="F356" s="3">
        <v>16331.25</v>
      </c>
      <c r="G356" s="1">
        <f t="shared" si="39"/>
        <v>16.25</v>
      </c>
      <c r="H356" s="1">
        <v>17.55</v>
      </c>
      <c r="I356" s="1">
        <f t="shared" si="40"/>
        <v>1.3000000000000007</v>
      </c>
      <c r="J356" s="1">
        <f t="shared" si="41"/>
        <v>1306.5000000000007</v>
      </c>
      <c r="K356" s="8"/>
      <c r="L356" s="8"/>
      <c r="M356" s="8"/>
      <c r="N356" s="8"/>
      <c r="O356" s="8"/>
      <c r="P356" s="8"/>
    </row>
    <row r="357" spans="3:16" x14ac:dyDescent="0.25">
      <c r="C357" s="1">
        <v>1001928</v>
      </c>
      <c r="D357" s="1" t="s">
        <v>138</v>
      </c>
      <c r="E357" s="2">
        <v>2864</v>
      </c>
      <c r="F357" s="3">
        <v>47399.199999999997</v>
      </c>
      <c r="G357" s="1">
        <f t="shared" si="39"/>
        <v>16.55</v>
      </c>
      <c r="H357" s="1">
        <v>17.850000000000001</v>
      </c>
      <c r="I357" s="1">
        <f t="shared" si="40"/>
        <v>1.3000000000000007</v>
      </c>
      <c r="J357" s="1">
        <f t="shared" si="41"/>
        <v>3723.2000000000021</v>
      </c>
      <c r="K357" s="8"/>
      <c r="L357" s="8"/>
      <c r="M357" s="8"/>
      <c r="N357" s="8"/>
      <c r="O357" s="8"/>
      <c r="P357" s="8"/>
    </row>
    <row r="358" spans="3:16" x14ac:dyDescent="0.25">
      <c r="C358" s="1">
        <v>1001950</v>
      </c>
      <c r="D358" s="1" t="s">
        <v>151</v>
      </c>
      <c r="E358" s="1">
        <v>552</v>
      </c>
      <c r="F358" s="3">
        <v>9080.4</v>
      </c>
      <c r="G358" s="1">
        <f t="shared" si="39"/>
        <v>16.45</v>
      </c>
      <c r="H358" s="1">
        <v>17.75</v>
      </c>
      <c r="I358" s="1">
        <f t="shared" si="40"/>
        <v>1.3000000000000007</v>
      </c>
      <c r="J358" s="1">
        <f t="shared" si="41"/>
        <v>717.60000000000036</v>
      </c>
      <c r="K358" s="8"/>
      <c r="L358" s="8"/>
      <c r="M358" s="8"/>
      <c r="N358" s="8"/>
      <c r="O358" s="8"/>
      <c r="P358" s="8"/>
    </row>
    <row r="359" spans="3:16" x14ac:dyDescent="0.25">
      <c r="C359" s="1">
        <v>1001950</v>
      </c>
      <c r="D359" s="1" t="s">
        <v>151</v>
      </c>
      <c r="E359" s="2">
        <v>4548</v>
      </c>
      <c r="F359" s="3">
        <v>74814.600000000006</v>
      </c>
      <c r="G359" s="1">
        <f t="shared" si="39"/>
        <v>16.450000000000003</v>
      </c>
      <c r="H359" s="1">
        <v>17.75</v>
      </c>
      <c r="I359" s="1">
        <f t="shared" si="40"/>
        <v>1.2999999999999972</v>
      </c>
      <c r="J359" s="1">
        <f t="shared" si="41"/>
        <v>5912.3999999999869</v>
      </c>
      <c r="K359" s="8"/>
      <c r="L359" s="8"/>
      <c r="M359" s="8"/>
      <c r="N359" s="8"/>
      <c r="O359" s="8"/>
      <c r="P359" s="8"/>
    </row>
    <row r="360" spans="3:16" x14ac:dyDescent="0.25">
      <c r="C360" s="1"/>
      <c r="D360" s="1"/>
      <c r="E360" s="33"/>
      <c r="F360" s="1"/>
      <c r="G360" s="1"/>
      <c r="H360" s="1"/>
      <c r="J360" s="1"/>
      <c r="K360" s="8"/>
      <c r="L360" s="8"/>
      <c r="M360" s="8"/>
      <c r="N360" s="8"/>
      <c r="O360" s="8"/>
      <c r="P360" s="8"/>
    </row>
    <row r="361" spans="3:16" x14ac:dyDescent="0.25">
      <c r="C361" s="1"/>
      <c r="D361" s="1"/>
      <c r="E361" s="1">
        <f>SUM(E344:E359)</f>
        <v>37280</v>
      </c>
      <c r="F361" s="1"/>
      <c r="G361" s="1"/>
      <c r="H361" s="1"/>
      <c r="I361" s="1"/>
      <c r="J361" s="1">
        <f>SUM(J344:J359)</f>
        <v>48505.849999999969</v>
      </c>
      <c r="K361" s="8"/>
      <c r="L361" s="8"/>
      <c r="M361" s="8"/>
      <c r="N361" s="8"/>
      <c r="O361" s="8"/>
      <c r="P361" s="8"/>
    </row>
    <row r="362" spans="3:16" x14ac:dyDescent="0.25">
      <c r="K362" s="8"/>
      <c r="L362" s="8"/>
      <c r="M362" s="8"/>
      <c r="N362" s="8"/>
      <c r="O362" s="8"/>
      <c r="P362" s="8"/>
    </row>
    <row r="363" spans="3:16" x14ac:dyDescent="0.25">
      <c r="J363" t="s">
        <v>234</v>
      </c>
      <c r="K363" s="8"/>
      <c r="L363" s="8"/>
      <c r="M363" s="8"/>
      <c r="N363" s="8"/>
      <c r="O363" s="8"/>
      <c r="P363" s="8"/>
    </row>
    <row r="364" spans="3:16" x14ac:dyDescent="0.25">
      <c r="D364" t="s">
        <v>251</v>
      </c>
      <c r="E364">
        <f>E361+E339</f>
        <v>153012</v>
      </c>
      <c r="F364" s="14"/>
      <c r="J364">
        <f>J361+J339</f>
        <v>199354.09999999998</v>
      </c>
      <c r="K364" s="8"/>
      <c r="L364" s="8"/>
      <c r="M364" s="8"/>
      <c r="N364" s="8"/>
      <c r="O364" s="8"/>
      <c r="P364" s="8"/>
    </row>
    <row r="365" spans="3:16" x14ac:dyDescent="0.25">
      <c r="K365" s="8"/>
      <c r="L365" s="8"/>
      <c r="M365" s="8"/>
      <c r="N365" s="8"/>
      <c r="O365" s="8"/>
      <c r="P365" s="8"/>
    </row>
    <row r="366" spans="3:16" x14ac:dyDescent="0.25">
      <c r="K366" s="8"/>
      <c r="L366" s="8"/>
      <c r="M366" s="8"/>
      <c r="N366" s="8"/>
      <c r="O366" s="8"/>
      <c r="P366" s="8"/>
    </row>
    <row r="367" spans="3:16" x14ac:dyDescent="0.25">
      <c r="K367" s="8"/>
      <c r="L367" s="8"/>
      <c r="M367" s="8"/>
      <c r="N367" s="8"/>
      <c r="O367" s="8"/>
      <c r="P367" s="8"/>
    </row>
    <row r="368" spans="3:16" x14ac:dyDescent="0.25">
      <c r="K368" s="8"/>
      <c r="L368" s="8"/>
      <c r="M368" s="8"/>
      <c r="N368" s="8"/>
      <c r="O368" s="8"/>
      <c r="P368" s="8"/>
    </row>
    <row r="369" spans="11:16" x14ac:dyDescent="0.25">
      <c r="K369" s="8"/>
      <c r="L369" s="8"/>
      <c r="M369" s="8"/>
      <c r="N369" s="8"/>
      <c r="O369" s="8"/>
      <c r="P369" s="8"/>
    </row>
    <row r="370" spans="11:16" x14ac:dyDescent="0.25">
      <c r="K370" s="8"/>
      <c r="L370" s="8"/>
      <c r="M370" s="8"/>
      <c r="N370" s="8"/>
      <c r="O370" s="8"/>
      <c r="P370" s="8"/>
    </row>
    <row r="371" spans="11:16" x14ac:dyDescent="0.25">
      <c r="K371" s="8"/>
      <c r="L371" s="8"/>
      <c r="M371" s="8"/>
      <c r="N371" s="8"/>
      <c r="O371" s="8"/>
      <c r="P371" s="8"/>
    </row>
    <row r="372" spans="11:16" x14ac:dyDescent="0.25">
      <c r="K372" s="8"/>
      <c r="L372" s="8"/>
      <c r="M372" s="8"/>
      <c r="N372" s="8"/>
      <c r="O372" s="8"/>
      <c r="P372" s="8"/>
    </row>
    <row r="373" spans="11:16" x14ac:dyDescent="0.25">
      <c r="K373" s="8"/>
      <c r="L373" s="8"/>
      <c r="M373" s="8"/>
      <c r="N373" s="8"/>
      <c r="O373" s="8"/>
      <c r="P373" s="8"/>
    </row>
    <row r="374" spans="11:16" x14ac:dyDescent="0.25">
      <c r="K374" s="8"/>
      <c r="L374" s="8"/>
      <c r="M374" s="8"/>
      <c r="N374" s="8"/>
      <c r="O374" s="8"/>
      <c r="P374" s="8"/>
    </row>
    <row r="375" spans="11:16" x14ac:dyDescent="0.25">
      <c r="K375" s="8"/>
      <c r="L375" s="8"/>
      <c r="M375" s="8"/>
      <c r="N375" s="8"/>
      <c r="O375" s="8"/>
      <c r="P375" s="8"/>
    </row>
    <row r="376" spans="11:16" x14ac:dyDescent="0.25">
      <c r="K376" s="8"/>
      <c r="L376" s="8"/>
      <c r="M376" s="8"/>
      <c r="N376" s="8"/>
      <c r="O376" s="8"/>
      <c r="P376" s="8"/>
    </row>
    <row r="377" spans="11:16" x14ac:dyDescent="0.25">
      <c r="K377" s="8"/>
      <c r="L377" s="8"/>
      <c r="M377" s="8"/>
      <c r="N377" s="8"/>
      <c r="O377" s="8"/>
      <c r="P377" s="8"/>
    </row>
    <row r="378" spans="11:16" x14ac:dyDescent="0.25">
      <c r="K378" s="8"/>
      <c r="L378" s="8"/>
      <c r="M378" s="8"/>
      <c r="N378" s="8"/>
      <c r="O378" s="8"/>
      <c r="P378" s="8"/>
    </row>
    <row r="379" spans="11:16" x14ac:dyDescent="0.25">
      <c r="K379" s="8"/>
      <c r="L379" s="8"/>
      <c r="M379" s="8"/>
      <c r="N379" s="8"/>
      <c r="O379" s="8"/>
      <c r="P379" s="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workbookViewId="0">
      <selection activeCell="F21" sqref="F17:F21"/>
    </sheetView>
  </sheetViews>
  <sheetFormatPr defaultColWidth="33" defaultRowHeight="15" x14ac:dyDescent="0.25"/>
  <cols>
    <col min="1" max="1" width="11" customWidth="1"/>
    <col min="2" max="2" width="24.42578125" customWidth="1"/>
    <col min="4" max="4" width="18" customWidth="1"/>
    <col min="5" max="5" width="19" customWidth="1"/>
    <col min="6" max="6" width="16" customWidth="1"/>
    <col min="7" max="7" width="13.85546875" customWidth="1"/>
    <col min="8" max="8" width="16.7109375" customWidth="1"/>
    <col min="9" max="9" width="26.28515625" customWidth="1"/>
  </cols>
  <sheetData>
    <row r="2" spans="2:9" x14ac:dyDescent="0.25">
      <c r="D2" t="s">
        <v>319</v>
      </c>
    </row>
    <row r="4" spans="2:9" ht="30" x14ac:dyDescent="0.25">
      <c r="B4" s="51" t="s">
        <v>77</v>
      </c>
      <c r="C4" s="53" t="s">
        <v>32</v>
      </c>
      <c r="D4" s="53" t="s">
        <v>322</v>
      </c>
      <c r="E4" s="53" t="s">
        <v>320</v>
      </c>
      <c r="F4" s="53" t="s">
        <v>321</v>
      </c>
      <c r="G4" s="53" t="s">
        <v>35</v>
      </c>
      <c r="H4" s="53" t="s">
        <v>36</v>
      </c>
      <c r="I4" s="51" t="s">
        <v>57</v>
      </c>
    </row>
    <row r="5" spans="2:9" x14ac:dyDescent="0.25">
      <c r="B5" s="30" t="s">
        <v>299</v>
      </c>
      <c r="C5" s="62" t="s">
        <v>317</v>
      </c>
      <c r="D5" s="77">
        <v>300</v>
      </c>
      <c r="E5" s="59">
        <v>8000</v>
      </c>
      <c r="F5" s="56">
        <f>D5*E5</f>
        <v>2400000</v>
      </c>
      <c r="G5" s="56">
        <v>1.32</v>
      </c>
      <c r="H5" s="57">
        <f>F5*G5</f>
        <v>3168000</v>
      </c>
      <c r="I5" s="54" t="s">
        <v>315</v>
      </c>
    </row>
    <row r="6" spans="2:9" x14ac:dyDescent="0.25">
      <c r="B6" s="30" t="s">
        <v>299</v>
      </c>
      <c r="C6" s="62" t="s">
        <v>316</v>
      </c>
      <c r="D6" s="77">
        <v>300</v>
      </c>
      <c r="E6" s="59">
        <v>2000</v>
      </c>
      <c r="F6" s="56">
        <f>D6*E6</f>
        <v>600000</v>
      </c>
      <c r="G6" s="56">
        <v>1.05</v>
      </c>
      <c r="H6" s="57">
        <f>F6*G6</f>
        <v>630000</v>
      </c>
      <c r="I6" s="54" t="s">
        <v>318</v>
      </c>
    </row>
    <row r="7" spans="2:9" x14ac:dyDescent="0.25">
      <c r="H7" s="78">
        <f>SUM(H5:H6)</f>
        <v>3798000</v>
      </c>
    </row>
    <row r="9" spans="2:9" ht="30" x14ac:dyDescent="0.25">
      <c r="B9" s="51" t="s">
        <v>77</v>
      </c>
      <c r="C9" s="53" t="s">
        <v>32</v>
      </c>
      <c r="D9" s="53" t="s">
        <v>322</v>
      </c>
      <c r="E9" s="53" t="s">
        <v>329</v>
      </c>
      <c r="F9" s="53" t="s">
        <v>330</v>
      </c>
      <c r="G9" s="53" t="s">
        <v>35</v>
      </c>
      <c r="H9" s="53" t="s">
        <v>36</v>
      </c>
      <c r="I9" s="51" t="s">
        <v>57</v>
      </c>
    </row>
    <row r="10" spans="2:9" x14ac:dyDescent="0.25">
      <c r="B10" s="30" t="s">
        <v>299</v>
      </c>
      <c r="C10" s="62" t="s">
        <v>328</v>
      </c>
      <c r="D10" s="77">
        <v>300</v>
      </c>
      <c r="E10" s="59">
        <v>2000</v>
      </c>
      <c r="F10" s="56">
        <f>D10*E10</f>
        <v>600000</v>
      </c>
      <c r="G10" s="56">
        <v>0.34</v>
      </c>
      <c r="H10" s="57">
        <f>F10*G10</f>
        <v>204000.00000000003</v>
      </c>
      <c r="I10" s="54" t="s">
        <v>315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C25"/>
  <sheetViews>
    <sheetView topLeftCell="E3" zoomScale="115" zoomScaleNormal="115" workbookViewId="0">
      <selection activeCell="AZ8" sqref="AZ8"/>
    </sheetView>
  </sheetViews>
  <sheetFormatPr defaultRowHeight="15" x14ac:dyDescent="0.25"/>
  <cols>
    <col min="1" max="1" width="2.5703125" customWidth="1"/>
    <col min="3" max="3" width="12.28515625" bestFit="1" customWidth="1"/>
    <col min="4" max="4" width="6" customWidth="1"/>
    <col min="5" max="5" width="8.28515625" bestFit="1" customWidth="1"/>
    <col min="6" max="6" width="20.7109375" customWidth="1"/>
    <col min="8" max="8" width="42.140625" bestFit="1" customWidth="1"/>
    <col min="9" max="9" width="13.140625" hidden="1" customWidth="1"/>
    <col min="10" max="13" width="0" hidden="1" customWidth="1"/>
    <col min="15" max="17" width="0" hidden="1" customWidth="1"/>
    <col min="18" max="18" width="6" customWidth="1"/>
    <col min="19" max="20" width="0" hidden="1" customWidth="1"/>
    <col min="21" max="21" width="11" hidden="1" customWidth="1"/>
    <col min="22" max="49" width="0" hidden="1" customWidth="1"/>
  </cols>
  <sheetData>
    <row r="5" spans="2:55" x14ac:dyDescent="0.25">
      <c r="B5" t="s">
        <v>331</v>
      </c>
      <c r="C5">
        <v>5000211498</v>
      </c>
      <c r="D5">
        <v>103</v>
      </c>
      <c r="E5" s="14">
        <v>40700</v>
      </c>
      <c r="F5" t="s">
        <v>332</v>
      </c>
      <c r="G5">
        <v>1001570</v>
      </c>
      <c r="H5" t="s">
        <v>333</v>
      </c>
      <c r="I5" t="s">
        <v>334</v>
      </c>
      <c r="J5" t="s">
        <v>0</v>
      </c>
      <c r="K5" s="108">
        <v>0.45473379629629629</v>
      </c>
      <c r="L5" t="s">
        <v>331</v>
      </c>
      <c r="M5" t="s">
        <v>0</v>
      </c>
      <c r="N5" s="14">
        <v>40700</v>
      </c>
      <c r="O5">
        <v>0</v>
      </c>
      <c r="Q5">
        <v>2016</v>
      </c>
      <c r="R5">
        <v>114</v>
      </c>
      <c r="S5" t="s">
        <v>335</v>
      </c>
      <c r="T5">
        <v>201582</v>
      </c>
      <c r="U5">
        <v>3000029170</v>
      </c>
      <c r="V5" t="s">
        <v>336</v>
      </c>
      <c r="X5">
        <v>1</v>
      </c>
      <c r="Y5" t="s">
        <v>331</v>
      </c>
      <c r="Z5" s="14">
        <v>40700</v>
      </c>
      <c r="AA5" t="s">
        <v>0</v>
      </c>
      <c r="AB5" t="s">
        <v>0</v>
      </c>
      <c r="AC5" s="14">
        <v>40700</v>
      </c>
      <c r="AD5">
        <v>100</v>
      </c>
      <c r="AE5">
        <v>10</v>
      </c>
      <c r="AF5">
        <v>0</v>
      </c>
      <c r="AG5">
        <v>0</v>
      </c>
      <c r="AH5" t="s">
        <v>337</v>
      </c>
      <c r="AJ5" t="s">
        <v>0</v>
      </c>
      <c r="AL5" t="s">
        <v>338</v>
      </c>
      <c r="AM5" s="14">
        <v>40700</v>
      </c>
      <c r="AO5" t="s">
        <v>339</v>
      </c>
      <c r="AP5" t="s">
        <v>340</v>
      </c>
      <c r="AQ5">
        <v>0</v>
      </c>
      <c r="AR5" t="s">
        <v>341</v>
      </c>
      <c r="AS5">
        <v>2120</v>
      </c>
      <c r="AW5" t="s">
        <v>342</v>
      </c>
      <c r="AX5">
        <v>0.61</v>
      </c>
      <c r="AY5">
        <v>0.46</v>
      </c>
      <c r="AZ5">
        <f>AX5-AY5</f>
        <v>0.14999999999999997</v>
      </c>
      <c r="BA5">
        <f>AZ5*N5</f>
        <v>6104.9999999999991</v>
      </c>
      <c r="BB5">
        <v>0.03</v>
      </c>
      <c r="BC5">
        <f>BB5*N5</f>
        <v>1221</v>
      </c>
    </row>
    <row r="6" spans="2:55" x14ac:dyDescent="0.25">
      <c r="E6" s="109">
        <f>SUM(E5)</f>
        <v>40700</v>
      </c>
      <c r="K6" s="108"/>
      <c r="N6" s="14"/>
      <c r="Z6" s="14"/>
      <c r="AC6" s="14"/>
      <c r="AM6" s="14"/>
      <c r="BA6" s="6">
        <f>SUM(BA5)</f>
        <v>6104.9999999999991</v>
      </c>
      <c r="BC6" s="6">
        <f>SUM(BC5)</f>
        <v>1221</v>
      </c>
    </row>
    <row r="7" spans="2:55" x14ac:dyDescent="0.25">
      <c r="B7" t="s">
        <v>343</v>
      </c>
      <c r="C7">
        <v>5000218781</v>
      </c>
      <c r="D7">
        <v>103</v>
      </c>
      <c r="E7" s="14">
        <v>17000</v>
      </c>
      <c r="F7" t="s">
        <v>344</v>
      </c>
      <c r="G7">
        <v>1002501</v>
      </c>
      <c r="H7" t="s">
        <v>345</v>
      </c>
      <c r="I7" t="s">
        <v>346</v>
      </c>
      <c r="J7" t="s">
        <v>0</v>
      </c>
      <c r="K7" s="108">
        <v>0.40839120370370369</v>
      </c>
      <c r="L7" t="s">
        <v>343</v>
      </c>
      <c r="M7" t="s">
        <v>0</v>
      </c>
      <c r="N7" s="14">
        <v>17000</v>
      </c>
      <c r="O7">
        <v>0</v>
      </c>
      <c r="Q7">
        <v>2016</v>
      </c>
      <c r="R7">
        <v>114</v>
      </c>
      <c r="S7" t="s">
        <v>335</v>
      </c>
      <c r="T7">
        <v>201582</v>
      </c>
      <c r="U7">
        <v>3000029889</v>
      </c>
      <c r="V7" t="s">
        <v>336</v>
      </c>
      <c r="X7">
        <v>1</v>
      </c>
      <c r="Y7" t="s">
        <v>343</v>
      </c>
      <c r="Z7" s="14">
        <v>17000</v>
      </c>
      <c r="AA7" t="s">
        <v>0</v>
      </c>
      <c r="AB7" t="s">
        <v>0</v>
      </c>
      <c r="AC7" s="14">
        <v>17000</v>
      </c>
      <c r="AD7">
        <v>100</v>
      </c>
      <c r="AE7">
        <v>10</v>
      </c>
      <c r="AF7">
        <v>0</v>
      </c>
      <c r="AG7">
        <v>0</v>
      </c>
      <c r="AH7" t="s">
        <v>347</v>
      </c>
      <c r="AJ7" t="s">
        <v>0</v>
      </c>
      <c r="AL7" t="s">
        <v>338</v>
      </c>
      <c r="AM7" s="14">
        <v>17000</v>
      </c>
      <c r="AO7" t="s">
        <v>339</v>
      </c>
      <c r="AP7" t="s">
        <v>340</v>
      </c>
      <c r="AQ7">
        <v>0</v>
      </c>
      <c r="AR7" t="s">
        <v>341</v>
      </c>
      <c r="AS7">
        <v>198</v>
      </c>
      <c r="AW7" t="s">
        <v>342</v>
      </c>
      <c r="AX7">
        <v>0.93</v>
      </c>
      <c r="AY7">
        <v>0.7</v>
      </c>
      <c r="AZ7">
        <f>AX7-AY7</f>
        <v>0.23000000000000009</v>
      </c>
      <c r="BA7">
        <f>AZ7*N7</f>
        <v>3910.0000000000014</v>
      </c>
      <c r="BB7">
        <v>0.04</v>
      </c>
      <c r="BC7">
        <f t="shared" ref="BC7:BC20" si="0">BB7*N7</f>
        <v>680</v>
      </c>
    </row>
    <row r="8" spans="2:55" x14ac:dyDescent="0.25">
      <c r="B8" t="s">
        <v>348</v>
      </c>
      <c r="C8">
        <v>5000221631</v>
      </c>
      <c r="D8">
        <v>103</v>
      </c>
      <c r="E8" s="14">
        <v>50000</v>
      </c>
      <c r="F8" t="s">
        <v>349</v>
      </c>
      <c r="G8">
        <v>1000873</v>
      </c>
      <c r="H8" t="s">
        <v>350</v>
      </c>
      <c r="I8">
        <v>292</v>
      </c>
      <c r="J8" t="s">
        <v>0</v>
      </c>
      <c r="K8" s="108">
        <v>0.41027777777777774</v>
      </c>
      <c r="L8" t="s">
        <v>351</v>
      </c>
      <c r="M8" t="s">
        <v>0</v>
      </c>
      <c r="N8" s="14">
        <v>50000</v>
      </c>
      <c r="O8">
        <v>0</v>
      </c>
      <c r="Q8">
        <v>2016</v>
      </c>
      <c r="R8">
        <v>112</v>
      </c>
      <c r="S8" t="s">
        <v>352</v>
      </c>
      <c r="T8">
        <v>201582</v>
      </c>
      <c r="U8">
        <v>3000029984</v>
      </c>
      <c r="V8" t="s">
        <v>336</v>
      </c>
      <c r="X8">
        <v>1</v>
      </c>
      <c r="Y8" t="s">
        <v>353</v>
      </c>
      <c r="Z8" s="14">
        <v>50000</v>
      </c>
      <c r="AA8" t="s">
        <v>0</v>
      </c>
      <c r="AB8" t="s">
        <v>0</v>
      </c>
      <c r="AC8" s="14">
        <v>50000</v>
      </c>
      <c r="AD8">
        <v>100</v>
      </c>
      <c r="AE8">
        <v>10</v>
      </c>
      <c r="AF8">
        <v>0</v>
      </c>
      <c r="AG8">
        <v>0</v>
      </c>
      <c r="AH8" t="s">
        <v>354</v>
      </c>
      <c r="AL8" t="s">
        <v>338</v>
      </c>
      <c r="AO8" t="s">
        <v>339</v>
      </c>
      <c r="AP8" t="s">
        <v>340</v>
      </c>
      <c r="AQ8">
        <v>0</v>
      </c>
      <c r="AR8" t="s">
        <v>341</v>
      </c>
      <c r="AS8">
        <v>249</v>
      </c>
      <c r="AW8" t="s">
        <v>355</v>
      </c>
      <c r="AX8">
        <v>0.44</v>
      </c>
      <c r="AY8">
        <v>0.34</v>
      </c>
      <c r="AZ8">
        <f t="shared" ref="AZ8:AZ20" si="1">AX8-AY8</f>
        <v>9.9999999999999978E-2</v>
      </c>
      <c r="BA8">
        <f t="shared" ref="BA8:BA20" si="2">AZ8*N8</f>
        <v>4999.9999999999991</v>
      </c>
      <c r="BB8">
        <v>0.02</v>
      </c>
      <c r="BC8">
        <f t="shared" si="0"/>
        <v>1000</v>
      </c>
    </row>
    <row r="9" spans="2:55" x14ac:dyDescent="0.25">
      <c r="B9" t="s">
        <v>348</v>
      </c>
      <c r="C9">
        <v>5000221631</v>
      </c>
      <c r="D9">
        <v>103</v>
      </c>
      <c r="E9" s="14">
        <v>3500</v>
      </c>
      <c r="F9" t="s">
        <v>349</v>
      </c>
      <c r="G9">
        <v>1000873</v>
      </c>
      <c r="H9" t="s">
        <v>350</v>
      </c>
      <c r="I9">
        <v>292</v>
      </c>
      <c r="J9" t="s">
        <v>0</v>
      </c>
      <c r="K9" s="108">
        <v>0.41027777777777774</v>
      </c>
      <c r="L9" t="s">
        <v>351</v>
      </c>
      <c r="M9" t="s">
        <v>0</v>
      </c>
      <c r="N9" s="14">
        <v>3500</v>
      </c>
      <c r="O9">
        <v>0</v>
      </c>
      <c r="Q9">
        <v>2016</v>
      </c>
      <c r="R9">
        <v>112</v>
      </c>
      <c r="S9" t="s">
        <v>352</v>
      </c>
      <c r="T9">
        <v>201582</v>
      </c>
      <c r="U9">
        <v>3000030773</v>
      </c>
      <c r="V9" t="s">
        <v>336</v>
      </c>
      <c r="X9">
        <v>2</v>
      </c>
      <c r="Y9" t="s">
        <v>353</v>
      </c>
      <c r="Z9" s="14">
        <v>3500</v>
      </c>
      <c r="AA9" t="s">
        <v>0</v>
      </c>
      <c r="AB9" t="s">
        <v>0</v>
      </c>
      <c r="AC9" s="14">
        <v>3500</v>
      </c>
      <c r="AD9">
        <v>100</v>
      </c>
      <c r="AE9">
        <v>10</v>
      </c>
      <c r="AF9">
        <v>0</v>
      </c>
      <c r="AG9">
        <v>0</v>
      </c>
      <c r="AH9" t="s">
        <v>354</v>
      </c>
      <c r="AL9" t="s">
        <v>338</v>
      </c>
      <c r="AO9" t="s">
        <v>339</v>
      </c>
      <c r="AP9" t="s">
        <v>340</v>
      </c>
      <c r="AQ9">
        <v>0</v>
      </c>
      <c r="AR9" t="s">
        <v>341</v>
      </c>
      <c r="AS9">
        <v>249</v>
      </c>
      <c r="AW9" t="s">
        <v>355</v>
      </c>
      <c r="AX9">
        <v>0.44</v>
      </c>
      <c r="AY9">
        <v>0.34</v>
      </c>
      <c r="AZ9">
        <f t="shared" si="1"/>
        <v>9.9999999999999978E-2</v>
      </c>
      <c r="BA9">
        <f t="shared" si="2"/>
        <v>349.99999999999994</v>
      </c>
      <c r="BB9">
        <v>0.02</v>
      </c>
      <c r="BC9">
        <f t="shared" si="0"/>
        <v>70</v>
      </c>
    </row>
    <row r="10" spans="2:55" x14ac:dyDescent="0.25">
      <c r="B10" t="s">
        <v>351</v>
      </c>
      <c r="C10">
        <v>5000221646</v>
      </c>
      <c r="D10">
        <v>103</v>
      </c>
      <c r="E10" s="14">
        <v>1990</v>
      </c>
      <c r="F10" t="s">
        <v>356</v>
      </c>
      <c r="G10">
        <v>1002501</v>
      </c>
      <c r="H10" t="s">
        <v>345</v>
      </c>
      <c r="I10" t="s">
        <v>357</v>
      </c>
      <c r="J10" t="s">
        <v>0</v>
      </c>
      <c r="K10" s="108">
        <v>0.44167824074074075</v>
      </c>
      <c r="L10" t="s">
        <v>351</v>
      </c>
      <c r="M10" t="s">
        <v>0</v>
      </c>
      <c r="N10" s="14">
        <v>1990</v>
      </c>
      <c r="O10">
        <v>0</v>
      </c>
      <c r="Q10">
        <v>2016</v>
      </c>
      <c r="R10">
        <v>114</v>
      </c>
      <c r="S10" t="s">
        <v>335</v>
      </c>
      <c r="T10">
        <v>201582</v>
      </c>
      <c r="U10">
        <v>3000030583</v>
      </c>
      <c r="V10" t="s">
        <v>336</v>
      </c>
      <c r="X10">
        <v>3</v>
      </c>
      <c r="Y10" t="s">
        <v>351</v>
      </c>
      <c r="Z10" s="14">
        <v>1990</v>
      </c>
      <c r="AA10" t="s">
        <v>0</v>
      </c>
      <c r="AB10" t="s">
        <v>0</v>
      </c>
      <c r="AC10" s="14">
        <v>1990</v>
      </c>
      <c r="AD10">
        <v>100</v>
      </c>
      <c r="AE10">
        <v>10</v>
      </c>
      <c r="AF10">
        <v>0</v>
      </c>
      <c r="AG10">
        <v>0</v>
      </c>
      <c r="AH10" t="s">
        <v>337</v>
      </c>
      <c r="AJ10" t="s">
        <v>0</v>
      </c>
      <c r="AL10" t="s">
        <v>338</v>
      </c>
      <c r="AM10" s="14">
        <v>1990</v>
      </c>
      <c r="AO10" t="s">
        <v>339</v>
      </c>
      <c r="AP10" t="s">
        <v>340</v>
      </c>
      <c r="AQ10">
        <v>0</v>
      </c>
      <c r="AR10" t="s">
        <v>341</v>
      </c>
      <c r="AS10">
        <v>218</v>
      </c>
      <c r="AW10" t="s">
        <v>342</v>
      </c>
      <c r="AX10">
        <v>0.93</v>
      </c>
      <c r="AY10">
        <v>0.7</v>
      </c>
      <c r="AZ10">
        <f t="shared" si="1"/>
        <v>0.23000000000000009</v>
      </c>
      <c r="BA10">
        <f t="shared" si="2"/>
        <v>457.70000000000016</v>
      </c>
      <c r="BB10">
        <v>0.04</v>
      </c>
      <c r="BC10">
        <f t="shared" si="0"/>
        <v>79.600000000000009</v>
      </c>
    </row>
    <row r="11" spans="2:55" x14ac:dyDescent="0.25">
      <c r="B11" t="s">
        <v>351</v>
      </c>
      <c r="C11">
        <v>5000221646</v>
      </c>
      <c r="D11">
        <v>103</v>
      </c>
      <c r="E11" s="14">
        <v>10110</v>
      </c>
      <c r="F11" t="s">
        <v>356</v>
      </c>
      <c r="G11">
        <v>1002501</v>
      </c>
      <c r="H11" t="s">
        <v>345</v>
      </c>
      <c r="I11" t="s">
        <v>357</v>
      </c>
      <c r="J11" t="s">
        <v>0</v>
      </c>
      <c r="K11" s="108">
        <v>0.44167824074074075</v>
      </c>
      <c r="L11" t="s">
        <v>351</v>
      </c>
      <c r="M11" t="s">
        <v>0</v>
      </c>
      <c r="N11" s="14">
        <v>10110</v>
      </c>
      <c r="O11">
        <v>0</v>
      </c>
      <c r="Q11">
        <v>2016</v>
      </c>
      <c r="R11">
        <v>114</v>
      </c>
      <c r="S11" t="s">
        <v>335</v>
      </c>
      <c r="T11">
        <v>201582</v>
      </c>
      <c r="U11">
        <v>3000029889</v>
      </c>
      <c r="V11" t="s">
        <v>336</v>
      </c>
      <c r="X11">
        <v>2</v>
      </c>
      <c r="Y11" t="s">
        <v>351</v>
      </c>
      <c r="Z11" s="14">
        <v>10110</v>
      </c>
      <c r="AA11" t="s">
        <v>0</v>
      </c>
      <c r="AB11" t="s">
        <v>0</v>
      </c>
      <c r="AC11" s="14">
        <v>10110</v>
      </c>
      <c r="AD11">
        <v>100</v>
      </c>
      <c r="AE11">
        <v>20</v>
      </c>
      <c r="AF11">
        <v>0</v>
      </c>
      <c r="AG11">
        <v>0</v>
      </c>
      <c r="AH11" t="s">
        <v>337</v>
      </c>
      <c r="AJ11" t="s">
        <v>0</v>
      </c>
      <c r="AL11" t="s">
        <v>338</v>
      </c>
      <c r="AM11" s="14">
        <v>10110</v>
      </c>
      <c r="AO11" t="s">
        <v>339</v>
      </c>
      <c r="AP11" t="s">
        <v>340</v>
      </c>
      <c r="AQ11">
        <v>0</v>
      </c>
      <c r="AR11" t="s">
        <v>341</v>
      </c>
      <c r="AS11">
        <v>218</v>
      </c>
      <c r="AW11" t="s">
        <v>342</v>
      </c>
      <c r="AX11">
        <v>0.93</v>
      </c>
      <c r="AY11">
        <v>0.7</v>
      </c>
      <c r="AZ11">
        <f t="shared" si="1"/>
        <v>0.23000000000000009</v>
      </c>
      <c r="BA11">
        <f t="shared" si="2"/>
        <v>2325.3000000000011</v>
      </c>
      <c r="BB11">
        <v>0.04</v>
      </c>
      <c r="BC11">
        <f t="shared" si="0"/>
        <v>404.40000000000003</v>
      </c>
    </row>
    <row r="12" spans="2:55" x14ac:dyDescent="0.25">
      <c r="B12" t="s">
        <v>351</v>
      </c>
      <c r="C12">
        <v>5000221646</v>
      </c>
      <c r="D12">
        <v>103</v>
      </c>
      <c r="E12" s="14">
        <v>7900</v>
      </c>
      <c r="F12" t="s">
        <v>356</v>
      </c>
      <c r="G12">
        <v>1002501</v>
      </c>
      <c r="H12" t="s">
        <v>345</v>
      </c>
      <c r="I12" t="s">
        <v>357</v>
      </c>
      <c r="J12" t="s">
        <v>0</v>
      </c>
      <c r="K12" s="108">
        <v>0.44167824074074075</v>
      </c>
      <c r="L12" t="s">
        <v>351</v>
      </c>
      <c r="M12" t="s">
        <v>0</v>
      </c>
      <c r="N12" s="14">
        <v>7900</v>
      </c>
      <c r="O12">
        <v>0</v>
      </c>
      <c r="Q12">
        <v>2016</v>
      </c>
      <c r="R12">
        <v>114</v>
      </c>
      <c r="S12" t="s">
        <v>335</v>
      </c>
      <c r="T12">
        <v>201582</v>
      </c>
      <c r="U12">
        <v>3000029889</v>
      </c>
      <c r="V12" t="s">
        <v>336</v>
      </c>
      <c r="X12">
        <v>1</v>
      </c>
      <c r="Y12" t="s">
        <v>351</v>
      </c>
      <c r="Z12" s="14">
        <v>7900</v>
      </c>
      <c r="AA12" t="s">
        <v>0</v>
      </c>
      <c r="AB12" t="s">
        <v>0</v>
      </c>
      <c r="AC12" s="14">
        <v>7900</v>
      </c>
      <c r="AD12">
        <v>100</v>
      </c>
      <c r="AE12">
        <v>10</v>
      </c>
      <c r="AF12">
        <v>0</v>
      </c>
      <c r="AG12">
        <v>0</v>
      </c>
      <c r="AH12" t="s">
        <v>337</v>
      </c>
      <c r="AJ12" t="s">
        <v>0</v>
      </c>
      <c r="AL12" t="s">
        <v>338</v>
      </c>
      <c r="AM12" s="14">
        <v>7900</v>
      </c>
      <c r="AO12" t="s">
        <v>339</v>
      </c>
      <c r="AP12" t="s">
        <v>340</v>
      </c>
      <c r="AQ12">
        <v>0</v>
      </c>
      <c r="AR12" t="s">
        <v>341</v>
      </c>
      <c r="AS12">
        <v>218</v>
      </c>
      <c r="AW12" t="s">
        <v>342</v>
      </c>
      <c r="AX12">
        <v>0.93</v>
      </c>
      <c r="AY12">
        <v>0.7</v>
      </c>
      <c r="AZ12">
        <f t="shared" si="1"/>
        <v>0.23000000000000009</v>
      </c>
      <c r="BA12">
        <f t="shared" si="2"/>
        <v>1817.0000000000007</v>
      </c>
      <c r="BB12">
        <v>0.04</v>
      </c>
      <c r="BC12">
        <f t="shared" si="0"/>
        <v>316</v>
      </c>
    </row>
    <row r="13" spans="2:55" x14ac:dyDescent="0.25">
      <c r="E13" s="109">
        <f>SUM(E7:E12)</f>
        <v>90500</v>
      </c>
      <c r="K13" s="108"/>
      <c r="N13" s="14"/>
      <c r="Z13" s="14"/>
      <c r="AC13" s="14"/>
      <c r="AM13" s="14"/>
      <c r="AZ13">
        <f t="shared" si="1"/>
        <v>0</v>
      </c>
      <c r="BA13" s="6">
        <f>SUM(BA7:BA12)</f>
        <v>13860.000000000002</v>
      </c>
      <c r="BC13" s="6">
        <f>SUM(BC7:BC12)</f>
        <v>2550</v>
      </c>
    </row>
    <row r="14" spans="2:55" x14ac:dyDescent="0.25">
      <c r="B14" t="s">
        <v>270</v>
      </c>
      <c r="C14">
        <v>5000226007</v>
      </c>
      <c r="D14">
        <v>103</v>
      </c>
      <c r="E14" s="14">
        <v>48000</v>
      </c>
      <c r="F14" t="s">
        <v>358</v>
      </c>
      <c r="G14">
        <v>1001570</v>
      </c>
      <c r="H14" t="s">
        <v>333</v>
      </c>
      <c r="I14" t="s">
        <v>359</v>
      </c>
      <c r="J14" t="s">
        <v>0</v>
      </c>
      <c r="K14" s="108">
        <v>0.65309027777777773</v>
      </c>
      <c r="L14" t="s">
        <v>270</v>
      </c>
      <c r="M14" t="s">
        <v>0</v>
      </c>
      <c r="N14" s="14">
        <v>48000</v>
      </c>
      <c r="O14">
        <v>0</v>
      </c>
      <c r="Q14">
        <v>2016</v>
      </c>
      <c r="R14">
        <v>114</v>
      </c>
      <c r="S14" t="s">
        <v>335</v>
      </c>
      <c r="T14">
        <v>201582</v>
      </c>
      <c r="U14">
        <v>3000031115</v>
      </c>
      <c r="V14" t="s">
        <v>336</v>
      </c>
      <c r="X14">
        <v>1</v>
      </c>
      <c r="Y14" t="s">
        <v>270</v>
      </c>
      <c r="Z14" s="14">
        <v>48000</v>
      </c>
      <c r="AA14" t="s">
        <v>0</v>
      </c>
      <c r="AB14" t="s">
        <v>0</v>
      </c>
      <c r="AC14" s="14">
        <v>48000</v>
      </c>
      <c r="AD14">
        <v>100</v>
      </c>
      <c r="AE14">
        <v>10</v>
      </c>
      <c r="AF14">
        <v>0</v>
      </c>
      <c r="AG14">
        <v>0</v>
      </c>
      <c r="AH14" t="s">
        <v>360</v>
      </c>
      <c r="AJ14" t="s">
        <v>0</v>
      </c>
      <c r="AL14" t="s">
        <v>338</v>
      </c>
      <c r="AM14" s="14">
        <v>48000</v>
      </c>
      <c r="AO14" t="s">
        <v>339</v>
      </c>
      <c r="AP14" t="s">
        <v>340</v>
      </c>
      <c r="AQ14">
        <v>0</v>
      </c>
      <c r="AR14" t="s">
        <v>341</v>
      </c>
      <c r="AS14">
        <v>436</v>
      </c>
      <c r="AW14" t="s">
        <v>342</v>
      </c>
      <c r="AX14">
        <v>0.61</v>
      </c>
      <c r="AY14">
        <v>0.46</v>
      </c>
      <c r="AZ14">
        <f>AX14-AY14</f>
        <v>0.14999999999999997</v>
      </c>
      <c r="BA14">
        <f t="shared" si="2"/>
        <v>7199.9999999999982</v>
      </c>
      <c r="BB14">
        <v>0.03</v>
      </c>
      <c r="BC14">
        <f t="shared" si="0"/>
        <v>1440</v>
      </c>
    </row>
    <row r="15" spans="2:55" x14ac:dyDescent="0.25">
      <c r="B15" t="s">
        <v>265</v>
      </c>
      <c r="C15">
        <v>5000228997</v>
      </c>
      <c r="D15">
        <v>103</v>
      </c>
      <c r="E15" s="14">
        <v>25750</v>
      </c>
      <c r="F15" t="s">
        <v>361</v>
      </c>
      <c r="G15">
        <v>1001478</v>
      </c>
      <c r="H15" t="s">
        <v>362</v>
      </c>
      <c r="I15" t="s">
        <v>363</v>
      </c>
      <c r="J15" t="s">
        <v>0</v>
      </c>
      <c r="K15" s="108">
        <v>0.50980324074074079</v>
      </c>
      <c r="L15" t="s">
        <v>265</v>
      </c>
      <c r="M15" t="s">
        <v>0</v>
      </c>
      <c r="N15" s="14">
        <v>25750</v>
      </c>
      <c r="O15">
        <v>0</v>
      </c>
      <c r="Q15">
        <v>2016</v>
      </c>
      <c r="R15">
        <v>114</v>
      </c>
      <c r="S15" t="s">
        <v>335</v>
      </c>
      <c r="T15">
        <v>201582</v>
      </c>
      <c r="U15">
        <v>3000031276</v>
      </c>
      <c r="V15" t="s">
        <v>336</v>
      </c>
      <c r="X15">
        <v>4</v>
      </c>
      <c r="Y15" t="s">
        <v>265</v>
      </c>
      <c r="Z15" s="14">
        <v>25750</v>
      </c>
      <c r="AA15" t="s">
        <v>0</v>
      </c>
      <c r="AB15" t="s">
        <v>0</v>
      </c>
      <c r="AC15" s="14">
        <v>25750</v>
      </c>
      <c r="AD15">
        <v>100</v>
      </c>
      <c r="AE15">
        <v>10</v>
      </c>
      <c r="AF15">
        <v>0</v>
      </c>
      <c r="AG15">
        <v>0</v>
      </c>
      <c r="AH15" t="s">
        <v>364</v>
      </c>
      <c r="AL15" t="s">
        <v>338</v>
      </c>
      <c r="AO15" t="s">
        <v>339</v>
      </c>
      <c r="AP15" t="s">
        <v>340</v>
      </c>
      <c r="AQ15">
        <v>0</v>
      </c>
      <c r="AR15" t="s">
        <v>341</v>
      </c>
      <c r="AS15">
        <v>588</v>
      </c>
      <c r="AW15" t="s">
        <v>342</v>
      </c>
      <c r="AX15">
        <v>0.85</v>
      </c>
      <c r="AY15">
        <v>0.68</v>
      </c>
      <c r="AZ15">
        <f t="shared" si="1"/>
        <v>0.16999999999999993</v>
      </c>
      <c r="BA15">
        <f t="shared" si="2"/>
        <v>4377.4999999999982</v>
      </c>
      <c r="BB15">
        <v>0.05</v>
      </c>
      <c r="BC15">
        <f t="shared" si="0"/>
        <v>1287.5</v>
      </c>
    </row>
    <row r="16" spans="2:55" x14ac:dyDescent="0.25">
      <c r="B16" t="s">
        <v>265</v>
      </c>
      <c r="C16">
        <v>5000228997</v>
      </c>
      <c r="D16">
        <v>103</v>
      </c>
      <c r="E16" s="14">
        <v>20000</v>
      </c>
      <c r="F16" t="s">
        <v>361</v>
      </c>
      <c r="G16">
        <v>1001478</v>
      </c>
      <c r="H16" t="s">
        <v>362</v>
      </c>
      <c r="I16" t="s">
        <v>363</v>
      </c>
      <c r="J16" t="s">
        <v>0</v>
      </c>
      <c r="K16" s="108">
        <v>0.50980324074074079</v>
      </c>
      <c r="L16" t="s">
        <v>265</v>
      </c>
      <c r="M16" t="s">
        <v>0</v>
      </c>
      <c r="N16" s="14">
        <v>20000</v>
      </c>
      <c r="O16">
        <v>0</v>
      </c>
      <c r="Q16">
        <v>2016</v>
      </c>
      <c r="R16">
        <v>114</v>
      </c>
      <c r="S16" t="s">
        <v>335</v>
      </c>
      <c r="T16">
        <v>201582</v>
      </c>
      <c r="U16">
        <v>3000031210</v>
      </c>
      <c r="V16" t="s">
        <v>336</v>
      </c>
      <c r="X16">
        <v>3</v>
      </c>
      <c r="Y16" t="s">
        <v>265</v>
      </c>
      <c r="Z16" s="14">
        <v>20000</v>
      </c>
      <c r="AA16" t="s">
        <v>0</v>
      </c>
      <c r="AB16" t="s">
        <v>0</v>
      </c>
      <c r="AC16" s="14">
        <v>20000</v>
      </c>
      <c r="AD16">
        <v>100</v>
      </c>
      <c r="AE16">
        <v>10</v>
      </c>
      <c r="AF16">
        <v>0</v>
      </c>
      <c r="AG16">
        <v>0</v>
      </c>
      <c r="AH16" t="s">
        <v>364</v>
      </c>
      <c r="AL16" t="s">
        <v>338</v>
      </c>
      <c r="AO16" t="s">
        <v>339</v>
      </c>
      <c r="AP16" t="s">
        <v>340</v>
      </c>
      <c r="AQ16">
        <v>0</v>
      </c>
      <c r="AR16" t="s">
        <v>341</v>
      </c>
      <c r="AS16">
        <v>588</v>
      </c>
      <c r="AW16" t="s">
        <v>342</v>
      </c>
      <c r="AX16">
        <v>0.85</v>
      </c>
      <c r="AY16">
        <v>0.68</v>
      </c>
      <c r="AZ16">
        <f t="shared" si="1"/>
        <v>0.16999999999999993</v>
      </c>
      <c r="BA16">
        <f t="shared" si="2"/>
        <v>3399.9999999999986</v>
      </c>
      <c r="BB16">
        <v>0.05</v>
      </c>
      <c r="BC16">
        <f t="shared" si="0"/>
        <v>1000</v>
      </c>
    </row>
    <row r="17" spans="2:55" x14ac:dyDescent="0.25">
      <c r="B17" t="s">
        <v>265</v>
      </c>
      <c r="C17">
        <v>5000228997</v>
      </c>
      <c r="D17">
        <v>103</v>
      </c>
      <c r="E17" s="14">
        <v>4128</v>
      </c>
      <c r="F17" t="s">
        <v>361</v>
      </c>
      <c r="G17">
        <v>1001570</v>
      </c>
      <c r="H17" t="s">
        <v>333</v>
      </c>
      <c r="I17" t="s">
        <v>363</v>
      </c>
      <c r="J17" t="s">
        <v>0</v>
      </c>
      <c r="K17" s="108">
        <v>0.50980324074074079</v>
      </c>
      <c r="L17" t="s">
        <v>265</v>
      </c>
      <c r="M17" t="s">
        <v>0</v>
      </c>
      <c r="N17" s="14">
        <v>4128</v>
      </c>
      <c r="O17">
        <v>0</v>
      </c>
      <c r="Q17">
        <v>2016</v>
      </c>
      <c r="R17">
        <v>114</v>
      </c>
      <c r="S17" t="s">
        <v>335</v>
      </c>
      <c r="T17">
        <v>201582</v>
      </c>
      <c r="U17">
        <v>3000031689</v>
      </c>
      <c r="V17" t="s">
        <v>336</v>
      </c>
      <c r="X17">
        <v>5</v>
      </c>
      <c r="Y17" t="s">
        <v>265</v>
      </c>
      <c r="Z17" s="14">
        <v>4128</v>
      </c>
      <c r="AA17" t="s">
        <v>0</v>
      </c>
      <c r="AB17" t="s">
        <v>0</v>
      </c>
      <c r="AC17" s="14">
        <v>4128</v>
      </c>
      <c r="AD17">
        <v>100</v>
      </c>
      <c r="AE17">
        <v>10</v>
      </c>
      <c r="AF17">
        <v>0</v>
      </c>
      <c r="AG17">
        <v>0</v>
      </c>
      <c r="AH17" t="s">
        <v>364</v>
      </c>
      <c r="AJ17" t="s">
        <v>0</v>
      </c>
      <c r="AL17" t="s">
        <v>338</v>
      </c>
      <c r="AM17" s="14">
        <v>4128</v>
      </c>
      <c r="AO17" t="s">
        <v>339</v>
      </c>
      <c r="AP17" t="s">
        <v>340</v>
      </c>
      <c r="AQ17">
        <v>0</v>
      </c>
      <c r="AR17" t="s">
        <v>341</v>
      </c>
      <c r="AS17">
        <v>588</v>
      </c>
      <c r="AW17" t="s">
        <v>342</v>
      </c>
      <c r="AX17">
        <v>0.61</v>
      </c>
      <c r="AY17">
        <v>0.46</v>
      </c>
      <c r="AZ17">
        <f t="shared" si="1"/>
        <v>0.14999999999999997</v>
      </c>
      <c r="BA17">
        <f t="shared" si="2"/>
        <v>619.19999999999982</v>
      </c>
      <c r="BB17">
        <v>0.03</v>
      </c>
      <c r="BC17">
        <f t="shared" si="0"/>
        <v>123.83999999999999</v>
      </c>
    </row>
    <row r="18" spans="2:55" x14ac:dyDescent="0.25">
      <c r="B18" t="s">
        <v>265</v>
      </c>
      <c r="C18">
        <v>5000228997</v>
      </c>
      <c r="D18">
        <v>103</v>
      </c>
      <c r="E18" s="14">
        <v>21972</v>
      </c>
      <c r="F18" t="s">
        <v>361</v>
      </c>
      <c r="G18">
        <v>1001570</v>
      </c>
      <c r="H18" t="s">
        <v>333</v>
      </c>
      <c r="I18" t="s">
        <v>363</v>
      </c>
      <c r="J18" t="s">
        <v>0</v>
      </c>
      <c r="K18" s="108">
        <v>0.50980324074074079</v>
      </c>
      <c r="L18" t="s">
        <v>265</v>
      </c>
      <c r="M18" t="s">
        <v>0</v>
      </c>
      <c r="N18" s="14">
        <v>21972</v>
      </c>
      <c r="O18">
        <v>0</v>
      </c>
      <c r="Q18">
        <v>2016</v>
      </c>
      <c r="R18">
        <v>114</v>
      </c>
      <c r="S18" t="s">
        <v>335</v>
      </c>
      <c r="T18">
        <v>201582</v>
      </c>
      <c r="U18">
        <v>3000031115</v>
      </c>
      <c r="V18" t="s">
        <v>336</v>
      </c>
      <c r="X18">
        <v>1</v>
      </c>
      <c r="Y18" t="s">
        <v>265</v>
      </c>
      <c r="Z18" s="14">
        <v>21972</v>
      </c>
      <c r="AA18" t="s">
        <v>0</v>
      </c>
      <c r="AB18" t="s">
        <v>0</v>
      </c>
      <c r="AC18" s="14">
        <v>21972</v>
      </c>
      <c r="AD18">
        <v>100</v>
      </c>
      <c r="AE18">
        <v>10</v>
      </c>
      <c r="AF18">
        <v>0</v>
      </c>
      <c r="AG18">
        <v>0</v>
      </c>
      <c r="AH18" t="s">
        <v>364</v>
      </c>
      <c r="AJ18" t="s">
        <v>0</v>
      </c>
      <c r="AL18" t="s">
        <v>338</v>
      </c>
      <c r="AM18" s="14">
        <v>21972</v>
      </c>
      <c r="AO18" t="s">
        <v>339</v>
      </c>
      <c r="AP18" t="s">
        <v>340</v>
      </c>
      <c r="AQ18">
        <v>0</v>
      </c>
      <c r="AR18" t="s">
        <v>341</v>
      </c>
      <c r="AS18">
        <v>588</v>
      </c>
      <c r="AW18" t="s">
        <v>342</v>
      </c>
      <c r="AX18">
        <v>0.61</v>
      </c>
      <c r="AY18">
        <v>0.46</v>
      </c>
      <c r="AZ18">
        <f t="shared" si="1"/>
        <v>0.14999999999999997</v>
      </c>
      <c r="BA18">
        <f t="shared" si="2"/>
        <v>3295.7999999999993</v>
      </c>
      <c r="BB18">
        <v>0.03</v>
      </c>
      <c r="BC18">
        <f t="shared" si="0"/>
        <v>659.16</v>
      </c>
    </row>
    <row r="19" spans="2:55" x14ac:dyDescent="0.25">
      <c r="B19" t="s">
        <v>265</v>
      </c>
      <c r="C19">
        <v>5000228997</v>
      </c>
      <c r="D19">
        <v>103</v>
      </c>
      <c r="E19" s="14">
        <v>40800</v>
      </c>
      <c r="F19" t="s">
        <v>361</v>
      </c>
      <c r="G19">
        <v>1001570</v>
      </c>
      <c r="H19" t="s">
        <v>333</v>
      </c>
      <c r="I19" t="s">
        <v>363</v>
      </c>
      <c r="J19" t="s">
        <v>0</v>
      </c>
      <c r="K19" s="108">
        <v>0.50980324074074079</v>
      </c>
      <c r="L19" t="s">
        <v>265</v>
      </c>
      <c r="M19" t="s">
        <v>0</v>
      </c>
      <c r="N19" s="14">
        <v>40800</v>
      </c>
      <c r="O19">
        <v>0</v>
      </c>
      <c r="Q19">
        <v>2016</v>
      </c>
      <c r="R19">
        <v>114</v>
      </c>
      <c r="S19" t="s">
        <v>335</v>
      </c>
      <c r="T19">
        <v>201582</v>
      </c>
      <c r="U19">
        <v>3000031115</v>
      </c>
      <c r="V19" t="s">
        <v>336</v>
      </c>
      <c r="X19">
        <v>2</v>
      </c>
      <c r="Y19" t="s">
        <v>265</v>
      </c>
      <c r="Z19" s="14">
        <v>40800</v>
      </c>
      <c r="AA19" t="s">
        <v>0</v>
      </c>
      <c r="AB19" t="s">
        <v>0</v>
      </c>
      <c r="AC19" s="14">
        <v>40800</v>
      </c>
      <c r="AD19">
        <v>100</v>
      </c>
      <c r="AE19">
        <v>20</v>
      </c>
      <c r="AF19">
        <v>0</v>
      </c>
      <c r="AG19">
        <v>0</v>
      </c>
      <c r="AH19" t="s">
        <v>364</v>
      </c>
      <c r="AJ19" t="s">
        <v>0</v>
      </c>
      <c r="AL19" t="s">
        <v>338</v>
      </c>
      <c r="AM19" s="14">
        <v>40800</v>
      </c>
      <c r="AO19" t="s">
        <v>339</v>
      </c>
      <c r="AP19" t="s">
        <v>340</v>
      </c>
      <c r="AQ19">
        <v>0</v>
      </c>
      <c r="AR19" t="s">
        <v>341</v>
      </c>
      <c r="AS19">
        <v>588</v>
      </c>
      <c r="AW19" t="s">
        <v>342</v>
      </c>
      <c r="AX19">
        <v>0.61</v>
      </c>
      <c r="AY19">
        <v>0.46</v>
      </c>
      <c r="AZ19">
        <f t="shared" si="1"/>
        <v>0.14999999999999997</v>
      </c>
      <c r="BA19">
        <f t="shared" si="2"/>
        <v>6119.9999999999991</v>
      </c>
      <c r="BB19">
        <v>0.03</v>
      </c>
      <c r="BC19">
        <f t="shared" si="0"/>
        <v>1224</v>
      </c>
    </row>
    <row r="20" spans="2:55" x14ac:dyDescent="0.25">
      <c r="B20" t="s">
        <v>365</v>
      </c>
      <c r="C20">
        <v>5000230454</v>
      </c>
      <c r="D20">
        <v>103</v>
      </c>
      <c r="E20" s="14">
        <v>10000</v>
      </c>
      <c r="F20" t="s">
        <v>366</v>
      </c>
      <c r="G20">
        <v>1002500</v>
      </c>
      <c r="H20" t="s">
        <v>367</v>
      </c>
      <c r="I20" t="s">
        <v>368</v>
      </c>
      <c r="J20" t="s">
        <v>0</v>
      </c>
      <c r="K20" s="108">
        <v>0.69571759259259258</v>
      </c>
      <c r="L20" t="s">
        <v>365</v>
      </c>
      <c r="M20" t="s">
        <v>0</v>
      </c>
      <c r="N20" s="14">
        <v>10000</v>
      </c>
      <c r="O20">
        <v>0</v>
      </c>
      <c r="Q20">
        <v>2016</v>
      </c>
      <c r="R20">
        <v>114</v>
      </c>
      <c r="S20" t="s">
        <v>335</v>
      </c>
      <c r="T20">
        <v>201582</v>
      </c>
      <c r="U20">
        <v>3000032118</v>
      </c>
      <c r="V20" t="s">
        <v>336</v>
      </c>
      <c r="X20">
        <v>1</v>
      </c>
      <c r="Y20" t="s">
        <v>365</v>
      </c>
      <c r="Z20" s="14">
        <v>10000</v>
      </c>
      <c r="AA20" t="s">
        <v>0</v>
      </c>
      <c r="AB20" t="s">
        <v>0</v>
      </c>
      <c r="AC20" s="14">
        <v>10000</v>
      </c>
      <c r="AD20">
        <v>100</v>
      </c>
      <c r="AE20">
        <v>10</v>
      </c>
      <c r="AF20">
        <v>0</v>
      </c>
      <c r="AG20">
        <v>0</v>
      </c>
      <c r="AH20" t="s">
        <v>369</v>
      </c>
      <c r="AJ20" t="s">
        <v>0</v>
      </c>
      <c r="AL20" t="s">
        <v>338</v>
      </c>
      <c r="AM20" s="14">
        <v>10000</v>
      </c>
      <c r="AO20" t="s">
        <v>339</v>
      </c>
      <c r="AP20" t="s">
        <v>340</v>
      </c>
      <c r="AQ20">
        <v>0</v>
      </c>
      <c r="AR20" t="s">
        <v>341</v>
      </c>
      <c r="AS20">
        <v>624</v>
      </c>
      <c r="AW20" t="s">
        <v>342</v>
      </c>
      <c r="AX20">
        <v>0.85</v>
      </c>
      <c r="AY20">
        <v>0.53</v>
      </c>
      <c r="AZ20">
        <f t="shared" si="1"/>
        <v>0.31999999999999995</v>
      </c>
      <c r="BA20">
        <f t="shared" si="2"/>
        <v>3199.9999999999995</v>
      </c>
      <c r="BB20">
        <v>0.03</v>
      </c>
      <c r="BC20">
        <f t="shared" si="0"/>
        <v>300</v>
      </c>
    </row>
    <row r="21" spans="2:55" x14ac:dyDescent="0.25">
      <c r="E21" s="109">
        <f>SUM(E14:E20)</f>
        <v>170650</v>
      </c>
      <c r="K21" s="108"/>
      <c r="N21" s="14"/>
      <c r="Z21" s="14"/>
      <c r="AC21" s="14"/>
      <c r="AM21" s="14"/>
      <c r="BA21" s="6">
        <f>SUM(BA14:BA20)</f>
        <v>28212.499999999993</v>
      </c>
      <c r="BC21" s="6">
        <f>SUM(BC14:BC20)</f>
        <v>6034.5</v>
      </c>
    </row>
    <row r="22" spans="2:55" x14ac:dyDescent="0.25">
      <c r="E22" s="14">
        <v>301850</v>
      </c>
      <c r="G22">
        <v>1002501</v>
      </c>
      <c r="J22" t="s">
        <v>0</v>
      </c>
      <c r="O22">
        <v>0</v>
      </c>
      <c r="AR22" t="s">
        <v>341</v>
      </c>
    </row>
    <row r="23" spans="2:55" x14ac:dyDescent="0.25">
      <c r="G23">
        <v>1001570</v>
      </c>
    </row>
    <row r="24" spans="2:55" x14ac:dyDescent="0.25">
      <c r="G24">
        <v>1000873</v>
      </c>
    </row>
    <row r="25" spans="2:55" x14ac:dyDescent="0.25">
      <c r="G25">
        <v>1001478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5"/>
  <sheetViews>
    <sheetView workbookViewId="0">
      <selection activeCell="C242" sqref="C242"/>
    </sheetView>
  </sheetViews>
  <sheetFormatPr defaultRowHeight="15" x14ac:dyDescent="0.25"/>
  <cols>
    <col min="1" max="1" width="11" customWidth="1"/>
    <col min="2" max="2" width="38.5703125" customWidth="1"/>
    <col min="3" max="4" width="10.140625" bestFit="1" customWidth="1"/>
    <col min="5" max="5" width="11.7109375" customWidth="1"/>
    <col min="6" max="6" width="12.28515625" bestFit="1" customWidth="1"/>
    <col min="8" max="8" width="13" customWidth="1"/>
    <col min="9" max="9" width="13.42578125" bestFit="1" customWidth="1"/>
    <col min="10" max="10" width="10.42578125" bestFit="1" customWidth="1"/>
  </cols>
  <sheetData>
    <row r="2" spans="1:15" x14ac:dyDescent="0.25">
      <c r="A2" t="s">
        <v>656</v>
      </c>
    </row>
    <row r="3" spans="1:15" x14ac:dyDescent="0.25">
      <c r="A3" s="1" t="s">
        <v>167</v>
      </c>
      <c r="B3" s="1" t="s">
        <v>169</v>
      </c>
      <c r="C3" s="1"/>
      <c r="D3" s="1" t="s">
        <v>22</v>
      </c>
      <c r="E3" s="1" t="s">
        <v>593</v>
      </c>
      <c r="F3" s="1" t="s">
        <v>592</v>
      </c>
      <c r="G3" s="1" t="s">
        <v>567</v>
      </c>
      <c r="H3" s="1" t="s">
        <v>50</v>
      </c>
      <c r="I3" s="1" t="s">
        <v>466</v>
      </c>
      <c r="J3" s="1" t="s">
        <v>52</v>
      </c>
      <c r="K3" s="1" t="s">
        <v>21</v>
      </c>
      <c r="L3" s="4" t="s">
        <v>506</v>
      </c>
      <c r="M3" s="4" t="s">
        <v>507</v>
      </c>
      <c r="N3" s="1" t="s">
        <v>505</v>
      </c>
      <c r="O3" s="1" t="s">
        <v>504</v>
      </c>
    </row>
    <row r="4" spans="1:15" x14ac:dyDescent="0.25">
      <c r="A4" s="1">
        <v>1003300</v>
      </c>
      <c r="B4" s="1" t="s">
        <v>840</v>
      </c>
      <c r="C4" s="1">
        <v>103</v>
      </c>
      <c r="D4" s="2">
        <v>33800</v>
      </c>
      <c r="E4" s="1" t="s">
        <v>841</v>
      </c>
      <c r="F4" s="1">
        <v>5000286886</v>
      </c>
      <c r="G4" s="1" t="s">
        <v>39</v>
      </c>
      <c r="H4" s="3">
        <v>161.4</v>
      </c>
      <c r="I4" s="3">
        <v>167.54</v>
      </c>
      <c r="J4" s="3">
        <f t="shared" ref="J4:J43" si="0">I4-H4</f>
        <v>6.1399999999999864</v>
      </c>
      <c r="K4" s="3">
        <f t="shared" ref="K4" si="1">J4*D4/325</f>
        <v>638.55999999999858</v>
      </c>
      <c r="L4" s="3">
        <v>319</v>
      </c>
      <c r="M4" s="1">
        <f t="shared" ref="M4" si="2">H4*2</f>
        <v>322.8</v>
      </c>
      <c r="N4" s="3">
        <f t="shared" ref="N4" si="3">M4-L4</f>
        <v>3.8000000000000114</v>
      </c>
      <c r="O4" s="127">
        <f t="shared" ref="O4" si="4">N4/650*D4</f>
        <v>197.60000000000059</v>
      </c>
    </row>
    <row r="5" spans="1:15" x14ac:dyDescent="0.25">
      <c r="A5" s="1">
        <v>1002367</v>
      </c>
      <c r="B5" s="1" t="s">
        <v>124</v>
      </c>
      <c r="C5" s="1">
        <v>103</v>
      </c>
      <c r="D5" s="2">
        <v>32500</v>
      </c>
      <c r="E5" s="1" t="s">
        <v>842</v>
      </c>
      <c r="F5" s="1">
        <v>5000281954</v>
      </c>
      <c r="G5" s="1" t="s">
        <v>39</v>
      </c>
      <c r="H5" s="3">
        <v>41.3</v>
      </c>
      <c r="I5" s="3">
        <v>43.38</v>
      </c>
      <c r="J5" s="3">
        <f t="shared" si="0"/>
        <v>2.0800000000000054</v>
      </c>
      <c r="K5" s="3">
        <f t="shared" ref="K5:K8" si="5">J5*D5/130</f>
        <v>520.00000000000136</v>
      </c>
      <c r="L5" s="1"/>
      <c r="M5" s="1"/>
      <c r="N5" s="1"/>
      <c r="O5" s="1"/>
    </row>
    <row r="6" spans="1:15" x14ac:dyDescent="0.25">
      <c r="A6" s="1">
        <v>1002351</v>
      </c>
      <c r="B6" s="1" t="s">
        <v>109</v>
      </c>
      <c r="C6" s="1">
        <v>103</v>
      </c>
      <c r="D6" s="2">
        <v>13000</v>
      </c>
      <c r="E6" s="1" t="s">
        <v>841</v>
      </c>
      <c r="F6" s="1">
        <v>5000286886</v>
      </c>
      <c r="G6" s="1" t="s">
        <v>39</v>
      </c>
      <c r="H6" s="3">
        <v>41.3</v>
      </c>
      <c r="I6" s="3">
        <v>43.38</v>
      </c>
      <c r="J6" s="3">
        <f t="shared" si="0"/>
        <v>2.0800000000000054</v>
      </c>
      <c r="K6" s="3">
        <f t="shared" si="5"/>
        <v>208.00000000000054</v>
      </c>
      <c r="L6" s="1"/>
      <c r="M6" s="1"/>
      <c r="N6" s="1"/>
      <c r="O6" s="1"/>
    </row>
    <row r="7" spans="1:15" x14ac:dyDescent="0.25">
      <c r="A7" s="1">
        <v>1002351</v>
      </c>
      <c r="B7" s="1" t="s">
        <v>109</v>
      </c>
      <c r="C7" s="1">
        <v>103</v>
      </c>
      <c r="D7" s="2">
        <v>13000</v>
      </c>
      <c r="E7" s="1" t="s">
        <v>842</v>
      </c>
      <c r="F7" s="1">
        <v>5000281954</v>
      </c>
      <c r="G7" s="1" t="s">
        <v>39</v>
      </c>
      <c r="H7" s="3">
        <v>41.3</v>
      </c>
      <c r="I7" s="3">
        <v>43.38</v>
      </c>
      <c r="J7" s="3">
        <f t="shared" si="0"/>
        <v>2.0800000000000054</v>
      </c>
      <c r="K7" s="3">
        <f t="shared" si="5"/>
        <v>208.00000000000054</v>
      </c>
      <c r="L7" s="1"/>
      <c r="M7" s="1"/>
      <c r="N7" s="1"/>
      <c r="O7" s="1"/>
    </row>
    <row r="8" spans="1:15" x14ac:dyDescent="0.25">
      <c r="A8" s="1">
        <v>1002449</v>
      </c>
      <c r="B8" s="1" t="s">
        <v>125</v>
      </c>
      <c r="C8" s="1">
        <v>103</v>
      </c>
      <c r="D8" s="2">
        <v>13000</v>
      </c>
      <c r="E8" s="1" t="s">
        <v>841</v>
      </c>
      <c r="F8" s="1">
        <v>5000286886</v>
      </c>
      <c r="G8" s="1" t="s">
        <v>39</v>
      </c>
      <c r="H8" s="3">
        <v>41.3</v>
      </c>
      <c r="I8" s="3">
        <v>43.38</v>
      </c>
      <c r="J8" s="3">
        <f t="shared" si="0"/>
        <v>2.0800000000000054</v>
      </c>
      <c r="K8" s="3">
        <f t="shared" si="5"/>
        <v>208.00000000000054</v>
      </c>
      <c r="L8" s="1"/>
      <c r="M8" s="1"/>
      <c r="N8" s="1"/>
      <c r="O8" s="1"/>
    </row>
    <row r="9" spans="1:15" x14ac:dyDescent="0.25">
      <c r="A9" s="1">
        <v>1002947</v>
      </c>
      <c r="B9" s="1" t="s">
        <v>474</v>
      </c>
      <c r="C9" s="1">
        <v>103</v>
      </c>
      <c r="D9" s="2">
        <v>52750</v>
      </c>
      <c r="E9" s="1" t="s">
        <v>843</v>
      </c>
      <c r="F9" s="1">
        <v>5000285901</v>
      </c>
      <c r="G9" s="1" t="s">
        <v>39</v>
      </c>
      <c r="H9" s="3">
        <v>134.5</v>
      </c>
      <c r="I9" s="3">
        <v>139.41999999999999</v>
      </c>
      <c r="J9" s="3">
        <f t="shared" si="0"/>
        <v>4.9199999999999875</v>
      </c>
      <c r="K9" s="3">
        <f t="shared" ref="K9:K33" si="6">J9*D9/325</f>
        <v>798.55384615384412</v>
      </c>
      <c r="L9" s="3">
        <v>266</v>
      </c>
      <c r="M9" s="1">
        <f t="shared" ref="M9:M33" si="7">H9*2</f>
        <v>269</v>
      </c>
      <c r="N9" s="3">
        <f t="shared" ref="N9:N33" si="8">M9-L9</f>
        <v>3</v>
      </c>
      <c r="O9" s="127">
        <f t="shared" ref="O9:O33" si="9">N9/650*D9</f>
        <v>243.46153846153848</v>
      </c>
    </row>
    <row r="10" spans="1:15" x14ac:dyDescent="0.25">
      <c r="A10" s="1">
        <v>1002947</v>
      </c>
      <c r="B10" s="1" t="s">
        <v>474</v>
      </c>
      <c r="C10" s="1">
        <v>103</v>
      </c>
      <c r="D10" s="2">
        <v>43450</v>
      </c>
      <c r="E10" s="1" t="s">
        <v>843</v>
      </c>
      <c r="F10" s="1">
        <v>5000285901</v>
      </c>
      <c r="G10" s="1" t="s">
        <v>39</v>
      </c>
      <c r="H10" s="3">
        <v>134.5</v>
      </c>
      <c r="I10" s="3">
        <v>139.41999999999999</v>
      </c>
      <c r="J10" s="3">
        <f t="shared" si="0"/>
        <v>4.9199999999999875</v>
      </c>
      <c r="K10" s="3">
        <f t="shared" si="6"/>
        <v>657.76615384615218</v>
      </c>
      <c r="L10" s="3">
        <v>266</v>
      </c>
      <c r="M10" s="1">
        <f t="shared" si="7"/>
        <v>269</v>
      </c>
      <c r="N10" s="3">
        <f t="shared" si="8"/>
        <v>3</v>
      </c>
      <c r="O10" s="127">
        <f t="shared" si="9"/>
        <v>200.53846153846155</v>
      </c>
    </row>
    <row r="11" spans="1:15" x14ac:dyDescent="0.25">
      <c r="A11" s="1">
        <v>1002947</v>
      </c>
      <c r="B11" s="1" t="s">
        <v>474</v>
      </c>
      <c r="C11" s="1">
        <v>103</v>
      </c>
      <c r="D11" s="2">
        <v>135850</v>
      </c>
      <c r="E11" s="1" t="s">
        <v>844</v>
      </c>
      <c r="F11" s="1">
        <v>5000283991</v>
      </c>
      <c r="G11" s="1" t="s">
        <v>39</v>
      </c>
      <c r="H11" s="3">
        <v>134.5</v>
      </c>
      <c r="I11" s="3">
        <v>139.41999999999999</v>
      </c>
      <c r="J11" s="3">
        <f t="shared" si="0"/>
        <v>4.9199999999999875</v>
      </c>
      <c r="K11" s="3">
        <f t="shared" si="6"/>
        <v>2056.5599999999945</v>
      </c>
      <c r="L11" s="3">
        <v>266</v>
      </c>
      <c r="M11" s="1">
        <f t="shared" si="7"/>
        <v>269</v>
      </c>
      <c r="N11" s="3">
        <f t="shared" si="8"/>
        <v>3</v>
      </c>
      <c r="O11" s="127">
        <f t="shared" si="9"/>
        <v>627.00000000000011</v>
      </c>
    </row>
    <row r="12" spans="1:15" x14ac:dyDescent="0.25">
      <c r="A12" s="1">
        <v>1002947</v>
      </c>
      <c r="B12" s="1" t="s">
        <v>474</v>
      </c>
      <c r="C12" s="1">
        <v>103</v>
      </c>
      <c r="D12" s="2">
        <v>154050</v>
      </c>
      <c r="E12" s="1" t="s">
        <v>845</v>
      </c>
      <c r="F12" s="1">
        <v>5000282297</v>
      </c>
      <c r="G12" s="1" t="s">
        <v>39</v>
      </c>
      <c r="H12" s="3">
        <v>134.5</v>
      </c>
      <c r="I12" s="3">
        <v>139.41999999999999</v>
      </c>
      <c r="J12" s="3">
        <f t="shared" si="0"/>
        <v>4.9199999999999875</v>
      </c>
      <c r="K12" s="3">
        <f t="shared" si="6"/>
        <v>2332.079999999994</v>
      </c>
      <c r="L12" s="3">
        <v>266</v>
      </c>
      <c r="M12" s="1">
        <f t="shared" si="7"/>
        <v>269</v>
      </c>
      <c r="N12" s="3">
        <f t="shared" si="8"/>
        <v>3</v>
      </c>
      <c r="O12" s="127">
        <f t="shared" si="9"/>
        <v>711.00000000000011</v>
      </c>
    </row>
    <row r="13" spans="1:15" x14ac:dyDescent="0.25">
      <c r="A13" s="1">
        <v>1002947</v>
      </c>
      <c r="B13" s="1" t="s">
        <v>474</v>
      </c>
      <c r="C13" s="1">
        <v>103</v>
      </c>
      <c r="D13" s="2">
        <v>78000</v>
      </c>
      <c r="E13" s="1" t="s">
        <v>842</v>
      </c>
      <c r="F13" s="1">
        <v>5000281954</v>
      </c>
      <c r="G13" s="1" t="s">
        <v>39</v>
      </c>
      <c r="H13" s="3">
        <v>134.5</v>
      </c>
      <c r="I13" s="3">
        <v>139.41999999999999</v>
      </c>
      <c r="J13" s="3">
        <f t="shared" si="0"/>
        <v>4.9199999999999875</v>
      </c>
      <c r="K13" s="3">
        <f t="shared" si="6"/>
        <v>1180.799999999997</v>
      </c>
      <c r="L13" s="3">
        <v>266</v>
      </c>
      <c r="M13" s="1">
        <f t="shared" si="7"/>
        <v>269</v>
      </c>
      <c r="N13" s="3">
        <f t="shared" si="8"/>
        <v>3</v>
      </c>
      <c r="O13" s="127">
        <f t="shared" si="9"/>
        <v>360.00000000000006</v>
      </c>
    </row>
    <row r="14" spans="1:15" x14ac:dyDescent="0.25">
      <c r="A14" s="1">
        <v>1003291</v>
      </c>
      <c r="B14" s="1" t="s">
        <v>846</v>
      </c>
      <c r="C14" s="1">
        <v>103</v>
      </c>
      <c r="D14" s="2">
        <v>26000</v>
      </c>
      <c r="E14" s="1" t="s">
        <v>847</v>
      </c>
      <c r="F14" s="1">
        <v>5000288341</v>
      </c>
      <c r="G14" s="1" t="s">
        <v>39</v>
      </c>
      <c r="H14" s="3">
        <v>161.4</v>
      </c>
      <c r="I14" s="3">
        <v>167.54</v>
      </c>
      <c r="J14" s="3">
        <f t="shared" si="0"/>
        <v>6.1399999999999864</v>
      </c>
      <c r="K14" s="3">
        <f t="shared" si="6"/>
        <v>491.19999999999891</v>
      </c>
      <c r="L14" s="3">
        <v>319</v>
      </c>
      <c r="M14" s="1">
        <f t="shared" si="7"/>
        <v>322.8</v>
      </c>
      <c r="N14" s="3">
        <f t="shared" si="8"/>
        <v>3.8000000000000114</v>
      </c>
      <c r="O14" s="127">
        <f t="shared" si="9"/>
        <v>152.00000000000045</v>
      </c>
    </row>
    <row r="15" spans="1:15" x14ac:dyDescent="0.25">
      <c r="A15" s="1">
        <v>1003291</v>
      </c>
      <c r="B15" s="1" t="s">
        <v>846</v>
      </c>
      <c r="C15" s="1">
        <v>103</v>
      </c>
      <c r="D15" s="2">
        <v>13650</v>
      </c>
      <c r="E15" s="1" t="s">
        <v>843</v>
      </c>
      <c r="F15" s="1">
        <v>5000285901</v>
      </c>
      <c r="G15" s="1" t="s">
        <v>39</v>
      </c>
      <c r="H15" s="3">
        <v>161.4</v>
      </c>
      <c r="I15" s="3">
        <v>167.54</v>
      </c>
      <c r="J15" s="3">
        <f t="shared" si="0"/>
        <v>6.1399999999999864</v>
      </c>
      <c r="K15" s="3">
        <f t="shared" si="6"/>
        <v>257.87999999999943</v>
      </c>
      <c r="L15" s="3">
        <v>319</v>
      </c>
      <c r="M15" s="1">
        <f t="shared" si="7"/>
        <v>322.8</v>
      </c>
      <c r="N15" s="3">
        <f t="shared" si="8"/>
        <v>3.8000000000000114</v>
      </c>
      <c r="O15" s="127">
        <f t="shared" si="9"/>
        <v>79.800000000000239</v>
      </c>
    </row>
    <row r="16" spans="1:15" x14ac:dyDescent="0.25">
      <c r="A16" s="1">
        <v>1003291</v>
      </c>
      <c r="B16" s="1" t="s">
        <v>846</v>
      </c>
      <c r="C16" s="1">
        <v>103</v>
      </c>
      <c r="D16" s="2">
        <v>142350</v>
      </c>
      <c r="E16" s="1" t="s">
        <v>843</v>
      </c>
      <c r="F16" s="1">
        <v>5000285901</v>
      </c>
      <c r="G16" s="1" t="s">
        <v>39</v>
      </c>
      <c r="H16" s="3">
        <v>161.4</v>
      </c>
      <c r="I16" s="3">
        <v>167.54</v>
      </c>
      <c r="J16" s="3">
        <f t="shared" si="0"/>
        <v>6.1399999999999864</v>
      </c>
      <c r="K16" s="3">
        <f t="shared" si="6"/>
        <v>2689.3199999999938</v>
      </c>
      <c r="L16" s="3">
        <v>319</v>
      </c>
      <c r="M16" s="1">
        <f t="shared" si="7"/>
        <v>322.8</v>
      </c>
      <c r="N16" s="3">
        <f t="shared" si="8"/>
        <v>3.8000000000000114</v>
      </c>
      <c r="O16" s="127">
        <f t="shared" si="9"/>
        <v>832.20000000000255</v>
      </c>
    </row>
    <row r="17" spans="1:15" x14ac:dyDescent="0.25">
      <c r="A17" s="1">
        <v>1003291</v>
      </c>
      <c r="B17" s="1" t="s">
        <v>846</v>
      </c>
      <c r="C17" s="1">
        <v>103</v>
      </c>
      <c r="D17" s="2">
        <v>20450</v>
      </c>
      <c r="E17" s="1" t="s">
        <v>848</v>
      </c>
      <c r="F17" s="1">
        <v>5000282918</v>
      </c>
      <c r="G17" s="1" t="s">
        <v>39</v>
      </c>
      <c r="H17" s="3">
        <v>161.4</v>
      </c>
      <c r="I17" s="3">
        <v>167.54</v>
      </c>
      <c r="J17" s="3">
        <f t="shared" si="0"/>
        <v>6.1399999999999864</v>
      </c>
      <c r="K17" s="3">
        <f t="shared" si="6"/>
        <v>386.34769230769143</v>
      </c>
      <c r="L17" s="3">
        <v>319</v>
      </c>
      <c r="M17" s="1">
        <f t="shared" si="7"/>
        <v>322.8</v>
      </c>
      <c r="N17" s="3">
        <f t="shared" si="8"/>
        <v>3.8000000000000114</v>
      </c>
      <c r="O17" s="127">
        <f t="shared" si="9"/>
        <v>119.55384615384651</v>
      </c>
    </row>
    <row r="18" spans="1:15" x14ac:dyDescent="0.25">
      <c r="A18" s="1">
        <v>1003291</v>
      </c>
      <c r="B18" s="1" t="s">
        <v>846</v>
      </c>
      <c r="C18" s="1">
        <v>103</v>
      </c>
      <c r="D18" s="2">
        <v>108900</v>
      </c>
      <c r="E18" s="1" t="s">
        <v>848</v>
      </c>
      <c r="F18" s="1">
        <v>5000282918</v>
      </c>
      <c r="G18" s="1" t="s">
        <v>39</v>
      </c>
      <c r="H18" s="3">
        <v>161.4</v>
      </c>
      <c r="I18" s="3">
        <v>167.54</v>
      </c>
      <c r="J18" s="3">
        <f t="shared" si="0"/>
        <v>6.1399999999999864</v>
      </c>
      <c r="K18" s="3">
        <f t="shared" si="6"/>
        <v>2057.3723076923029</v>
      </c>
      <c r="L18" s="3">
        <v>319</v>
      </c>
      <c r="M18" s="1">
        <f t="shared" si="7"/>
        <v>322.8</v>
      </c>
      <c r="N18" s="3">
        <f t="shared" si="8"/>
        <v>3.8000000000000114</v>
      </c>
      <c r="O18" s="127">
        <f t="shared" si="9"/>
        <v>636.64615384615581</v>
      </c>
    </row>
    <row r="19" spans="1:15" x14ac:dyDescent="0.25">
      <c r="A19" s="1">
        <v>1003291</v>
      </c>
      <c r="B19" s="1" t="s">
        <v>846</v>
      </c>
      <c r="C19" s="1">
        <v>103</v>
      </c>
      <c r="D19" s="2">
        <v>76700</v>
      </c>
      <c r="E19" s="1" t="s">
        <v>849</v>
      </c>
      <c r="F19" s="1">
        <v>5000282713</v>
      </c>
      <c r="G19" s="1" t="s">
        <v>39</v>
      </c>
      <c r="H19" s="3">
        <v>161.4</v>
      </c>
      <c r="I19" s="3">
        <v>167.54</v>
      </c>
      <c r="J19" s="3">
        <f t="shared" si="0"/>
        <v>6.1399999999999864</v>
      </c>
      <c r="K19" s="3">
        <f t="shared" si="6"/>
        <v>1449.0399999999968</v>
      </c>
      <c r="L19" s="3">
        <v>319</v>
      </c>
      <c r="M19" s="1">
        <f t="shared" si="7"/>
        <v>322.8</v>
      </c>
      <c r="N19" s="3">
        <f t="shared" si="8"/>
        <v>3.8000000000000114</v>
      </c>
      <c r="O19" s="127">
        <f t="shared" si="9"/>
        <v>448.40000000000134</v>
      </c>
    </row>
    <row r="20" spans="1:15" x14ac:dyDescent="0.25">
      <c r="A20" s="1">
        <v>1003154</v>
      </c>
      <c r="B20" s="1" t="s">
        <v>795</v>
      </c>
      <c r="C20" s="1">
        <v>103</v>
      </c>
      <c r="D20" s="2">
        <v>13650</v>
      </c>
      <c r="E20" s="1" t="s">
        <v>842</v>
      </c>
      <c r="F20" s="1">
        <v>5000281985</v>
      </c>
      <c r="G20" s="1" t="s">
        <v>39</v>
      </c>
      <c r="H20" s="3">
        <v>134.5</v>
      </c>
      <c r="I20" s="3">
        <v>139.41999999999999</v>
      </c>
      <c r="J20" s="3">
        <f t="shared" si="0"/>
        <v>4.9199999999999875</v>
      </c>
      <c r="K20" s="3">
        <f t="shared" si="6"/>
        <v>206.63999999999947</v>
      </c>
      <c r="L20" s="3">
        <v>266</v>
      </c>
      <c r="M20" s="1">
        <f t="shared" si="7"/>
        <v>269</v>
      </c>
      <c r="N20" s="3">
        <f t="shared" si="8"/>
        <v>3</v>
      </c>
      <c r="O20" s="127">
        <f t="shared" si="9"/>
        <v>63.000000000000007</v>
      </c>
    </row>
    <row r="21" spans="1:15" x14ac:dyDescent="0.25">
      <c r="A21" s="1">
        <v>1003153</v>
      </c>
      <c r="B21" s="1" t="s">
        <v>793</v>
      </c>
      <c r="C21" s="1">
        <v>103</v>
      </c>
      <c r="D21" s="2">
        <v>9750</v>
      </c>
      <c r="E21" s="1" t="s">
        <v>844</v>
      </c>
      <c r="F21" s="1">
        <v>5000283991</v>
      </c>
      <c r="G21" s="1" t="s">
        <v>39</v>
      </c>
      <c r="H21" s="3">
        <v>134.5</v>
      </c>
      <c r="I21" s="3">
        <v>139.41999999999999</v>
      </c>
      <c r="J21" s="3">
        <f t="shared" si="0"/>
        <v>4.9199999999999875</v>
      </c>
      <c r="K21" s="3">
        <f t="shared" si="6"/>
        <v>147.59999999999962</v>
      </c>
      <c r="L21" s="3">
        <v>266</v>
      </c>
      <c r="M21" s="1">
        <f t="shared" si="7"/>
        <v>269</v>
      </c>
      <c r="N21" s="3">
        <f t="shared" si="8"/>
        <v>3</v>
      </c>
      <c r="O21" s="127">
        <f t="shared" si="9"/>
        <v>45.000000000000007</v>
      </c>
    </row>
    <row r="22" spans="1:15" x14ac:dyDescent="0.25">
      <c r="A22" s="1">
        <v>1003153</v>
      </c>
      <c r="B22" s="1" t="s">
        <v>793</v>
      </c>
      <c r="C22" s="1">
        <v>103</v>
      </c>
      <c r="D22" s="2">
        <v>45500</v>
      </c>
      <c r="E22" s="1" t="s">
        <v>848</v>
      </c>
      <c r="F22" s="1">
        <v>5000282918</v>
      </c>
      <c r="G22" s="1" t="s">
        <v>39</v>
      </c>
      <c r="H22" s="3">
        <v>134.5</v>
      </c>
      <c r="I22" s="3">
        <v>139.41999999999999</v>
      </c>
      <c r="J22" s="3">
        <f t="shared" si="0"/>
        <v>4.9199999999999875</v>
      </c>
      <c r="K22" s="3">
        <f t="shared" si="6"/>
        <v>688.79999999999825</v>
      </c>
      <c r="L22" s="3">
        <v>266</v>
      </c>
      <c r="M22" s="1">
        <f t="shared" si="7"/>
        <v>269</v>
      </c>
      <c r="N22" s="3">
        <f t="shared" si="8"/>
        <v>3</v>
      </c>
      <c r="O22" s="127">
        <f t="shared" si="9"/>
        <v>210.00000000000003</v>
      </c>
    </row>
    <row r="23" spans="1:15" x14ac:dyDescent="0.25">
      <c r="A23" s="1">
        <v>1003153</v>
      </c>
      <c r="B23" s="1" t="s">
        <v>793</v>
      </c>
      <c r="C23" s="1">
        <v>103</v>
      </c>
      <c r="D23" s="2">
        <v>18200</v>
      </c>
      <c r="E23" s="1" t="s">
        <v>849</v>
      </c>
      <c r="F23" s="1">
        <v>5000282713</v>
      </c>
      <c r="G23" s="1" t="s">
        <v>39</v>
      </c>
      <c r="H23" s="3">
        <v>134.5</v>
      </c>
      <c r="I23" s="3">
        <v>139.41999999999999</v>
      </c>
      <c r="J23" s="3">
        <f t="shared" si="0"/>
        <v>4.9199999999999875</v>
      </c>
      <c r="K23" s="3">
        <f t="shared" si="6"/>
        <v>275.5199999999993</v>
      </c>
      <c r="L23" s="3">
        <v>266</v>
      </c>
      <c r="M23" s="1">
        <f t="shared" si="7"/>
        <v>269</v>
      </c>
      <c r="N23" s="3">
        <f t="shared" si="8"/>
        <v>3</v>
      </c>
      <c r="O23" s="127">
        <f t="shared" si="9"/>
        <v>84.000000000000014</v>
      </c>
    </row>
    <row r="24" spans="1:15" x14ac:dyDescent="0.25">
      <c r="A24" s="1">
        <v>1003153</v>
      </c>
      <c r="B24" s="1" t="s">
        <v>793</v>
      </c>
      <c r="C24" s="1">
        <v>103</v>
      </c>
      <c r="D24" s="2">
        <v>13000</v>
      </c>
      <c r="E24" s="1" t="s">
        <v>849</v>
      </c>
      <c r="F24" s="1">
        <v>5000282713</v>
      </c>
      <c r="G24" s="1" t="s">
        <v>39</v>
      </c>
      <c r="H24" s="3">
        <v>134.5</v>
      </c>
      <c r="I24" s="3">
        <v>139.41999999999999</v>
      </c>
      <c r="J24" s="3">
        <f t="shared" si="0"/>
        <v>4.9199999999999875</v>
      </c>
      <c r="K24" s="3">
        <f t="shared" si="6"/>
        <v>196.7999999999995</v>
      </c>
      <c r="L24" s="3">
        <v>266</v>
      </c>
      <c r="M24" s="1">
        <f t="shared" si="7"/>
        <v>269</v>
      </c>
      <c r="N24" s="3">
        <f t="shared" si="8"/>
        <v>3</v>
      </c>
      <c r="O24" s="127">
        <f t="shared" si="9"/>
        <v>60.000000000000007</v>
      </c>
    </row>
    <row r="25" spans="1:15" x14ac:dyDescent="0.25">
      <c r="A25" s="1">
        <v>1003159</v>
      </c>
      <c r="B25" s="1" t="s">
        <v>797</v>
      </c>
      <c r="C25" s="1">
        <v>103</v>
      </c>
      <c r="D25" s="2">
        <v>247650</v>
      </c>
      <c r="E25" s="1" t="s">
        <v>847</v>
      </c>
      <c r="F25" s="1">
        <v>5000288341</v>
      </c>
      <c r="G25" s="1" t="s">
        <v>39</v>
      </c>
      <c r="H25" s="3">
        <v>134.5</v>
      </c>
      <c r="I25" s="3">
        <v>139.41999999999999</v>
      </c>
      <c r="J25" s="3">
        <f t="shared" si="0"/>
        <v>4.9199999999999875</v>
      </c>
      <c r="K25" s="3">
        <f t="shared" si="6"/>
        <v>3749.0399999999909</v>
      </c>
      <c r="L25" s="3">
        <v>266</v>
      </c>
      <c r="M25" s="1">
        <f t="shared" si="7"/>
        <v>269</v>
      </c>
      <c r="N25" s="3">
        <f t="shared" si="8"/>
        <v>3</v>
      </c>
      <c r="O25" s="127">
        <f t="shared" si="9"/>
        <v>1143</v>
      </c>
    </row>
    <row r="26" spans="1:15" x14ac:dyDescent="0.25">
      <c r="A26" s="1">
        <v>1003159</v>
      </c>
      <c r="B26" s="1" t="s">
        <v>797</v>
      </c>
      <c r="C26" s="1">
        <v>103</v>
      </c>
      <c r="D26" s="2">
        <v>74100</v>
      </c>
      <c r="E26" s="1" t="s">
        <v>844</v>
      </c>
      <c r="F26" s="1">
        <v>5000283991</v>
      </c>
      <c r="G26" s="1" t="s">
        <v>39</v>
      </c>
      <c r="H26" s="3">
        <v>134.5</v>
      </c>
      <c r="I26" s="3">
        <v>139.41999999999999</v>
      </c>
      <c r="J26" s="3">
        <f t="shared" si="0"/>
        <v>4.9199999999999875</v>
      </c>
      <c r="K26" s="3">
        <f t="shared" si="6"/>
        <v>1121.759999999997</v>
      </c>
      <c r="L26" s="3">
        <v>266</v>
      </c>
      <c r="M26" s="1">
        <f t="shared" si="7"/>
        <v>269</v>
      </c>
      <c r="N26" s="3">
        <f t="shared" si="8"/>
        <v>3</v>
      </c>
      <c r="O26" s="127">
        <f t="shared" si="9"/>
        <v>342.00000000000006</v>
      </c>
    </row>
    <row r="27" spans="1:15" x14ac:dyDescent="0.25">
      <c r="A27" s="1">
        <v>1003159</v>
      </c>
      <c r="B27" s="1" t="s">
        <v>797</v>
      </c>
      <c r="C27" s="1">
        <v>103</v>
      </c>
      <c r="D27" s="2">
        <v>116800</v>
      </c>
      <c r="E27" s="1" t="s">
        <v>845</v>
      </c>
      <c r="F27" s="1">
        <v>5000282297</v>
      </c>
      <c r="G27" s="1" t="s">
        <v>39</v>
      </c>
      <c r="H27" s="3">
        <v>134.5</v>
      </c>
      <c r="I27" s="3">
        <v>139.41999999999999</v>
      </c>
      <c r="J27" s="3">
        <f t="shared" si="0"/>
        <v>4.9199999999999875</v>
      </c>
      <c r="K27" s="3">
        <f t="shared" si="6"/>
        <v>1768.1723076923031</v>
      </c>
      <c r="L27" s="3">
        <v>266</v>
      </c>
      <c r="M27" s="1">
        <f t="shared" si="7"/>
        <v>269</v>
      </c>
      <c r="N27" s="3">
        <f t="shared" si="8"/>
        <v>3</v>
      </c>
      <c r="O27" s="127">
        <f t="shared" si="9"/>
        <v>539.07692307692309</v>
      </c>
    </row>
    <row r="28" spans="1:15" x14ac:dyDescent="0.25">
      <c r="A28" s="1">
        <v>1003159</v>
      </c>
      <c r="B28" s="1" t="s">
        <v>797</v>
      </c>
      <c r="C28" s="1">
        <v>103</v>
      </c>
      <c r="D28" s="2">
        <v>79500</v>
      </c>
      <c r="E28" s="1" t="s">
        <v>845</v>
      </c>
      <c r="F28" s="1">
        <v>5000282297</v>
      </c>
      <c r="G28" s="1" t="s">
        <v>39</v>
      </c>
      <c r="H28" s="3">
        <v>134.5</v>
      </c>
      <c r="I28" s="3">
        <v>139.41999999999999</v>
      </c>
      <c r="J28" s="3">
        <f t="shared" si="0"/>
        <v>4.9199999999999875</v>
      </c>
      <c r="K28" s="3">
        <f t="shared" si="6"/>
        <v>1203.5076923076892</v>
      </c>
      <c r="L28" s="3">
        <v>266</v>
      </c>
      <c r="M28" s="1">
        <f t="shared" si="7"/>
        <v>269</v>
      </c>
      <c r="N28" s="3">
        <f t="shared" si="8"/>
        <v>3</v>
      </c>
      <c r="O28" s="127">
        <f t="shared" si="9"/>
        <v>366.92307692307696</v>
      </c>
    </row>
    <row r="29" spans="1:15" x14ac:dyDescent="0.25">
      <c r="A29" s="1">
        <v>1003293</v>
      </c>
      <c r="B29" s="1" t="s">
        <v>850</v>
      </c>
      <c r="C29" s="1">
        <v>103</v>
      </c>
      <c r="D29" s="2">
        <v>128050</v>
      </c>
      <c r="E29" s="1" t="s">
        <v>841</v>
      </c>
      <c r="F29" s="1">
        <v>5000286886</v>
      </c>
      <c r="G29" s="1" t="s">
        <v>39</v>
      </c>
      <c r="H29" s="3">
        <v>161.4</v>
      </c>
      <c r="I29" s="3">
        <v>167.54</v>
      </c>
      <c r="J29" s="3">
        <f t="shared" si="0"/>
        <v>6.1399999999999864</v>
      </c>
      <c r="K29" s="3">
        <f t="shared" si="6"/>
        <v>2419.1599999999949</v>
      </c>
      <c r="L29" s="3">
        <v>319</v>
      </c>
      <c r="M29" s="1">
        <f t="shared" si="7"/>
        <v>322.8</v>
      </c>
      <c r="N29" s="3">
        <f t="shared" si="8"/>
        <v>3.8000000000000114</v>
      </c>
      <c r="O29" s="127">
        <f t="shared" si="9"/>
        <v>748.6000000000023</v>
      </c>
    </row>
    <row r="30" spans="1:15" x14ac:dyDescent="0.25">
      <c r="A30" s="1">
        <v>1003293</v>
      </c>
      <c r="B30" s="1" t="s">
        <v>850</v>
      </c>
      <c r="C30" s="1">
        <v>103</v>
      </c>
      <c r="D30" s="2">
        <v>37050</v>
      </c>
      <c r="E30" s="1" t="s">
        <v>851</v>
      </c>
      <c r="F30" s="1">
        <v>5000286012</v>
      </c>
      <c r="G30" s="1" t="s">
        <v>39</v>
      </c>
      <c r="H30" s="3">
        <v>161.4</v>
      </c>
      <c r="I30" s="3">
        <v>167.54</v>
      </c>
      <c r="J30" s="3">
        <f t="shared" si="0"/>
        <v>6.1399999999999864</v>
      </c>
      <c r="K30" s="3">
        <f t="shared" si="6"/>
        <v>699.95999999999844</v>
      </c>
      <c r="L30" s="3">
        <v>319</v>
      </c>
      <c r="M30" s="1">
        <f t="shared" si="7"/>
        <v>322.8</v>
      </c>
      <c r="N30" s="3">
        <f t="shared" si="8"/>
        <v>3.8000000000000114</v>
      </c>
      <c r="O30" s="127">
        <f t="shared" si="9"/>
        <v>216.60000000000065</v>
      </c>
    </row>
    <row r="31" spans="1:15" x14ac:dyDescent="0.25">
      <c r="A31" s="1">
        <v>1003293</v>
      </c>
      <c r="B31" s="1" t="s">
        <v>850</v>
      </c>
      <c r="C31" s="1">
        <v>103</v>
      </c>
      <c r="D31" s="2">
        <v>143000</v>
      </c>
      <c r="E31" s="1" t="s">
        <v>843</v>
      </c>
      <c r="F31" s="1">
        <v>5000285901</v>
      </c>
      <c r="G31" s="1" t="s">
        <v>39</v>
      </c>
      <c r="H31" s="3">
        <v>161.4</v>
      </c>
      <c r="I31" s="3">
        <v>167.54</v>
      </c>
      <c r="J31" s="3">
        <f t="shared" si="0"/>
        <v>6.1399999999999864</v>
      </c>
      <c r="K31" s="3">
        <f t="shared" si="6"/>
        <v>2701.599999999994</v>
      </c>
      <c r="L31" s="3">
        <v>319</v>
      </c>
      <c r="M31" s="1">
        <f t="shared" si="7"/>
        <v>322.8</v>
      </c>
      <c r="N31" s="3">
        <f t="shared" si="8"/>
        <v>3.8000000000000114</v>
      </c>
      <c r="O31" s="127">
        <f t="shared" si="9"/>
        <v>836.0000000000025</v>
      </c>
    </row>
    <row r="32" spans="1:15" x14ac:dyDescent="0.25">
      <c r="A32" s="1">
        <v>1003293</v>
      </c>
      <c r="B32" s="1" t="s">
        <v>850</v>
      </c>
      <c r="C32" s="1">
        <v>103</v>
      </c>
      <c r="D32" s="2">
        <v>86990</v>
      </c>
      <c r="E32" s="1" t="s">
        <v>844</v>
      </c>
      <c r="F32" s="1">
        <v>5000283991</v>
      </c>
      <c r="G32" s="1" t="s">
        <v>39</v>
      </c>
      <c r="H32" s="3">
        <v>161.4</v>
      </c>
      <c r="I32" s="3">
        <v>167.54</v>
      </c>
      <c r="J32" s="3">
        <f t="shared" si="0"/>
        <v>6.1399999999999864</v>
      </c>
      <c r="K32" s="3">
        <f t="shared" si="6"/>
        <v>1643.4418461538426</v>
      </c>
      <c r="L32" s="3">
        <v>319</v>
      </c>
      <c r="M32" s="1">
        <f t="shared" si="7"/>
        <v>322.8</v>
      </c>
      <c r="N32" s="3">
        <f t="shared" si="8"/>
        <v>3.8000000000000114</v>
      </c>
      <c r="O32" s="127">
        <f t="shared" si="9"/>
        <v>508.55692307692459</v>
      </c>
    </row>
    <row r="33" spans="1:15" x14ac:dyDescent="0.25">
      <c r="A33" s="1">
        <v>1003293</v>
      </c>
      <c r="B33" s="1" t="s">
        <v>850</v>
      </c>
      <c r="C33" s="1">
        <v>103</v>
      </c>
      <c r="D33" s="2">
        <v>87750</v>
      </c>
      <c r="E33" s="1" t="s">
        <v>844</v>
      </c>
      <c r="F33" s="1">
        <v>5000283993</v>
      </c>
      <c r="G33" s="1" t="s">
        <v>39</v>
      </c>
      <c r="H33" s="3">
        <v>161.4</v>
      </c>
      <c r="I33" s="3">
        <v>167.54</v>
      </c>
      <c r="J33" s="3">
        <f t="shared" si="0"/>
        <v>6.1399999999999864</v>
      </c>
      <c r="K33" s="3">
        <f t="shared" si="6"/>
        <v>1657.7999999999963</v>
      </c>
      <c r="L33" s="3">
        <v>319</v>
      </c>
      <c r="M33" s="1">
        <f t="shared" si="7"/>
        <v>322.8</v>
      </c>
      <c r="N33" s="3">
        <f t="shared" si="8"/>
        <v>3.8000000000000114</v>
      </c>
      <c r="O33" s="127">
        <f t="shared" si="9"/>
        <v>513.00000000000159</v>
      </c>
    </row>
    <row r="34" spans="1:15" x14ac:dyDescent="0.25">
      <c r="A34" s="1">
        <v>1000065</v>
      </c>
      <c r="B34" s="1" t="s">
        <v>80</v>
      </c>
      <c r="C34" s="1">
        <v>103</v>
      </c>
      <c r="D34" s="2">
        <v>33800</v>
      </c>
      <c r="E34" s="1" t="s">
        <v>841</v>
      </c>
      <c r="F34" s="1">
        <v>5000286886</v>
      </c>
      <c r="G34" s="1" t="s">
        <v>39</v>
      </c>
      <c r="H34" s="3">
        <v>41.3</v>
      </c>
      <c r="I34" s="3">
        <v>43.38</v>
      </c>
      <c r="J34" s="3">
        <f t="shared" si="0"/>
        <v>2.0800000000000054</v>
      </c>
      <c r="K34" s="3">
        <f t="shared" ref="K34:K43" si="10">J34*D34/130</f>
        <v>540.80000000000143</v>
      </c>
      <c r="L34" s="1"/>
      <c r="M34" s="1"/>
      <c r="N34" s="1"/>
      <c r="O34" s="1"/>
    </row>
    <row r="35" spans="1:15" x14ac:dyDescent="0.25">
      <c r="A35" s="1">
        <v>1000065</v>
      </c>
      <c r="B35" s="1" t="s">
        <v>80</v>
      </c>
      <c r="C35" s="1">
        <v>103</v>
      </c>
      <c r="D35" s="2">
        <v>25480</v>
      </c>
      <c r="E35" s="1" t="s">
        <v>842</v>
      </c>
      <c r="F35" s="1">
        <v>5000281954</v>
      </c>
      <c r="G35" s="1" t="s">
        <v>39</v>
      </c>
      <c r="H35" s="3">
        <v>41.3</v>
      </c>
      <c r="I35" s="3">
        <v>43.38</v>
      </c>
      <c r="J35" s="3">
        <f t="shared" si="0"/>
        <v>2.0800000000000054</v>
      </c>
      <c r="K35" s="3">
        <f t="shared" si="10"/>
        <v>407.68000000000109</v>
      </c>
      <c r="L35" s="1"/>
      <c r="M35" s="1"/>
      <c r="N35" s="1"/>
      <c r="O35" s="1"/>
    </row>
    <row r="36" spans="1:15" x14ac:dyDescent="0.25">
      <c r="A36" s="1">
        <v>1000065</v>
      </c>
      <c r="B36" s="1" t="s">
        <v>80</v>
      </c>
      <c r="C36" s="1">
        <v>103</v>
      </c>
      <c r="D36" s="2">
        <v>13000</v>
      </c>
      <c r="E36" s="1" t="s">
        <v>842</v>
      </c>
      <c r="F36" s="1">
        <v>5000281954</v>
      </c>
      <c r="G36" s="1" t="s">
        <v>39</v>
      </c>
      <c r="H36" s="3">
        <v>41.3</v>
      </c>
      <c r="I36" s="3">
        <v>43.38</v>
      </c>
      <c r="J36" s="3">
        <f t="shared" si="0"/>
        <v>2.0800000000000054</v>
      </c>
      <c r="K36" s="3">
        <f t="shared" si="10"/>
        <v>208.00000000000054</v>
      </c>
      <c r="L36" s="1"/>
      <c r="M36" s="1"/>
      <c r="N36" s="1"/>
      <c r="O36" s="1"/>
    </row>
    <row r="37" spans="1:15" x14ac:dyDescent="0.25">
      <c r="A37" s="1">
        <v>1000074</v>
      </c>
      <c r="B37" s="1" t="s">
        <v>81</v>
      </c>
      <c r="C37" s="1">
        <v>103</v>
      </c>
      <c r="D37" s="2">
        <v>11700</v>
      </c>
      <c r="E37" s="1" t="s">
        <v>841</v>
      </c>
      <c r="F37" s="1">
        <v>5000286886</v>
      </c>
      <c r="G37" s="1" t="s">
        <v>39</v>
      </c>
      <c r="H37" s="3">
        <v>41.3</v>
      </c>
      <c r="I37" s="3">
        <v>43.38</v>
      </c>
      <c r="J37" s="3">
        <f t="shared" si="0"/>
        <v>2.0800000000000054</v>
      </c>
      <c r="K37" s="3">
        <f t="shared" si="10"/>
        <v>187.20000000000047</v>
      </c>
      <c r="L37" s="1"/>
      <c r="M37" s="1"/>
      <c r="N37" s="1"/>
      <c r="O37" s="1"/>
    </row>
    <row r="38" spans="1:15" x14ac:dyDescent="0.25">
      <c r="A38" s="1">
        <v>1000074</v>
      </c>
      <c r="B38" s="1" t="s">
        <v>81</v>
      </c>
      <c r="C38" s="1">
        <v>103</v>
      </c>
      <c r="D38" s="2">
        <v>113100</v>
      </c>
      <c r="E38" s="1" t="s">
        <v>841</v>
      </c>
      <c r="F38" s="1">
        <v>5000286886</v>
      </c>
      <c r="G38" s="1" t="s">
        <v>39</v>
      </c>
      <c r="H38" s="3">
        <v>41.3</v>
      </c>
      <c r="I38" s="3">
        <v>43.38</v>
      </c>
      <c r="J38" s="3">
        <f t="shared" si="0"/>
        <v>2.0800000000000054</v>
      </c>
      <c r="K38" s="3">
        <f t="shared" si="10"/>
        <v>1809.6000000000047</v>
      </c>
      <c r="L38" s="1"/>
      <c r="M38" s="1"/>
      <c r="N38" s="1"/>
      <c r="O38" s="1"/>
    </row>
    <row r="39" spans="1:15" x14ac:dyDescent="0.25">
      <c r="A39" s="1">
        <v>1000074</v>
      </c>
      <c r="B39" s="1" t="s">
        <v>81</v>
      </c>
      <c r="C39" s="1">
        <v>103</v>
      </c>
      <c r="D39" s="2">
        <v>1300</v>
      </c>
      <c r="E39" s="1" t="s">
        <v>852</v>
      </c>
      <c r="F39" s="1">
        <v>5000283431</v>
      </c>
      <c r="G39" s="1" t="s">
        <v>39</v>
      </c>
      <c r="H39" s="3">
        <v>41.3</v>
      </c>
      <c r="I39" s="3">
        <v>43.38</v>
      </c>
      <c r="J39" s="3">
        <f t="shared" si="0"/>
        <v>2.0800000000000054</v>
      </c>
      <c r="K39" s="3">
        <f t="shared" si="10"/>
        <v>20.800000000000054</v>
      </c>
      <c r="L39" s="1"/>
      <c r="M39" s="1"/>
      <c r="N39" s="1"/>
      <c r="O39" s="1"/>
    </row>
    <row r="40" spans="1:15" x14ac:dyDescent="0.25">
      <c r="A40" s="1">
        <v>1000074</v>
      </c>
      <c r="B40" s="1" t="s">
        <v>81</v>
      </c>
      <c r="C40" s="1">
        <v>103</v>
      </c>
      <c r="D40" s="2">
        <v>13000</v>
      </c>
      <c r="E40" s="1" t="s">
        <v>842</v>
      </c>
      <c r="F40" s="1">
        <v>5000281954</v>
      </c>
      <c r="G40" s="1" t="s">
        <v>39</v>
      </c>
      <c r="H40" s="3">
        <v>41.3</v>
      </c>
      <c r="I40" s="3">
        <v>43.38</v>
      </c>
      <c r="J40" s="3">
        <f t="shared" si="0"/>
        <v>2.0800000000000054</v>
      </c>
      <c r="K40" s="3">
        <f t="shared" si="10"/>
        <v>208.00000000000054</v>
      </c>
      <c r="L40" s="1"/>
      <c r="M40" s="1"/>
      <c r="N40" s="1"/>
      <c r="O40" s="1"/>
    </row>
    <row r="41" spans="1:15" x14ac:dyDescent="0.25">
      <c r="A41" s="1">
        <v>1000074</v>
      </c>
      <c r="B41" s="1" t="s">
        <v>81</v>
      </c>
      <c r="C41" s="1">
        <v>103</v>
      </c>
      <c r="D41" s="2">
        <v>11700</v>
      </c>
      <c r="E41" s="1" t="s">
        <v>842</v>
      </c>
      <c r="F41" s="1">
        <v>5000281954</v>
      </c>
      <c r="G41" s="1" t="s">
        <v>39</v>
      </c>
      <c r="H41" s="3">
        <v>41.3</v>
      </c>
      <c r="I41" s="3">
        <v>43.38</v>
      </c>
      <c r="J41" s="3">
        <f t="shared" si="0"/>
        <v>2.0800000000000054</v>
      </c>
      <c r="K41" s="3">
        <f t="shared" si="10"/>
        <v>187.20000000000047</v>
      </c>
      <c r="L41" s="1"/>
      <c r="M41" s="1"/>
      <c r="N41" s="1"/>
      <c r="O41" s="1"/>
    </row>
    <row r="42" spans="1:15" x14ac:dyDescent="0.25">
      <c r="A42" s="1">
        <v>1000074</v>
      </c>
      <c r="B42" s="1" t="s">
        <v>81</v>
      </c>
      <c r="C42" s="1">
        <v>103</v>
      </c>
      <c r="D42" s="2">
        <v>13000</v>
      </c>
      <c r="E42" s="1" t="s">
        <v>842</v>
      </c>
      <c r="F42" s="1">
        <v>5000281954</v>
      </c>
      <c r="G42" s="1" t="s">
        <v>39</v>
      </c>
      <c r="H42" s="3">
        <v>41.3</v>
      </c>
      <c r="I42" s="3">
        <v>43.38</v>
      </c>
      <c r="J42" s="3">
        <f t="shared" si="0"/>
        <v>2.0800000000000054</v>
      </c>
      <c r="K42" s="3">
        <f t="shared" si="10"/>
        <v>208.00000000000054</v>
      </c>
      <c r="L42" s="1"/>
      <c r="M42" s="1"/>
      <c r="N42" s="1"/>
      <c r="O42" s="1"/>
    </row>
    <row r="43" spans="1:15" x14ac:dyDescent="0.25">
      <c r="A43" s="1">
        <v>1001761</v>
      </c>
      <c r="B43" s="1" t="s">
        <v>193</v>
      </c>
      <c r="C43" s="1">
        <v>103</v>
      </c>
      <c r="D43" s="2">
        <v>13000</v>
      </c>
      <c r="E43" s="1" t="s">
        <v>842</v>
      </c>
      <c r="F43" s="1">
        <v>5000281954</v>
      </c>
      <c r="G43" s="1" t="s">
        <v>39</v>
      </c>
      <c r="H43" s="3">
        <v>41.3</v>
      </c>
      <c r="I43" s="3">
        <v>43.38</v>
      </c>
      <c r="J43" s="3">
        <f t="shared" si="0"/>
        <v>2.0800000000000054</v>
      </c>
      <c r="K43" s="3">
        <f t="shared" si="10"/>
        <v>208.00000000000054</v>
      </c>
      <c r="L43" s="1"/>
      <c r="M43" s="1"/>
      <c r="N43" s="1"/>
      <c r="O43" s="1"/>
    </row>
    <row r="44" spans="1:15" x14ac:dyDescent="0.25">
      <c r="A44" s="1"/>
      <c r="B44" s="1"/>
      <c r="C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2">
        <f>SUM(D9:D33)</f>
        <v>1953140</v>
      </c>
      <c r="E45" s="1"/>
      <c r="F45" s="1"/>
      <c r="G45" s="1"/>
      <c r="H45" s="1"/>
      <c r="I45" s="1" t="s">
        <v>58</v>
      </c>
      <c r="J45" s="1"/>
      <c r="K45" s="3"/>
      <c r="L45" s="1"/>
      <c r="M45" s="1"/>
      <c r="N45" s="1"/>
      <c r="O45" s="3">
        <f>SUM(O4:O43)</f>
        <v>10283.956923076939</v>
      </c>
    </row>
    <row r="48" spans="1:15" x14ac:dyDescent="0.25">
      <c r="A48" s="1" t="s">
        <v>669</v>
      </c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5" x14ac:dyDescent="0.25">
      <c r="A49" s="1"/>
      <c r="B49" s="1"/>
      <c r="C49" s="1"/>
      <c r="D49" s="1"/>
      <c r="E49" s="1"/>
      <c r="F49" s="1"/>
      <c r="G49" s="199" t="s">
        <v>603</v>
      </c>
      <c r="H49" s="199"/>
      <c r="I49" s="199"/>
      <c r="J49" s="199"/>
      <c r="K49" s="199" t="s">
        <v>604</v>
      </c>
      <c r="L49" s="199"/>
      <c r="M49" s="199"/>
      <c r="N49" s="199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5" x14ac:dyDescent="0.25">
      <c r="A51" s="1" t="s">
        <v>438</v>
      </c>
      <c r="B51" s="1" t="s">
        <v>439</v>
      </c>
      <c r="C51" s="1" t="s">
        <v>172</v>
      </c>
      <c r="D51" s="1" t="s">
        <v>22</v>
      </c>
      <c r="E51" s="1" t="s">
        <v>594</v>
      </c>
      <c r="F51" s="1" t="s">
        <v>172</v>
      </c>
      <c r="G51" s="1" t="s">
        <v>601</v>
      </c>
      <c r="H51" s="1" t="s">
        <v>210</v>
      </c>
      <c r="I51" s="1" t="s">
        <v>602</v>
      </c>
      <c r="J51" s="1" t="s">
        <v>443</v>
      </c>
      <c r="K51" s="1" t="s">
        <v>601</v>
      </c>
      <c r="L51" s="1" t="s">
        <v>210</v>
      </c>
      <c r="M51" s="1" t="s">
        <v>602</v>
      </c>
      <c r="N51" s="1" t="s">
        <v>443</v>
      </c>
    </row>
    <row r="52" spans="1:15" x14ac:dyDescent="0.25">
      <c r="A52" s="5">
        <v>1000842</v>
      </c>
      <c r="B52" s="1" t="s">
        <v>744</v>
      </c>
      <c r="C52" s="1">
        <v>103</v>
      </c>
      <c r="D52" s="2">
        <v>10000</v>
      </c>
      <c r="E52" s="1" t="s">
        <v>853</v>
      </c>
      <c r="F52" s="1">
        <v>5000288654</v>
      </c>
      <c r="G52" s="1">
        <v>700</v>
      </c>
      <c r="H52" s="1">
        <v>850</v>
      </c>
      <c r="I52" s="1">
        <f>H52-G52</f>
        <v>150</v>
      </c>
      <c r="J52" s="1">
        <f>I52*D52/1000</f>
        <v>1500</v>
      </c>
      <c r="K52" s="1"/>
      <c r="L52" s="1"/>
      <c r="M52" s="1"/>
      <c r="N52" s="1"/>
    </row>
    <row r="53" spans="1:15" x14ac:dyDescent="0.25">
      <c r="A53" s="1">
        <v>1000842</v>
      </c>
      <c r="B53" s="1" t="s">
        <v>744</v>
      </c>
      <c r="C53" s="1">
        <v>103</v>
      </c>
      <c r="D53" s="2">
        <v>10000</v>
      </c>
      <c r="E53" s="1" t="s">
        <v>853</v>
      </c>
      <c r="F53" s="1">
        <v>5000288654</v>
      </c>
      <c r="G53" s="1">
        <v>700</v>
      </c>
      <c r="H53" s="1">
        <v>850</v>
      </c>
      <c r="I53" s="1">
        <f>H53-G53</f>
        <v>150</v>
      </c>
      <c r="J53" s="1">
        <f>I53*D53/1000</f>
        <v>1500</v>
      </c>
      <c r="K53" s="1"/>
      <c r="L53" s="1"/>
      <c r="M53" s="1"/>
      <c r="N53" s="1"/>
    </row>
    <row r="54" spans="1:15" x14ac:dyDescent="0.25">
      <c r="A54" s="1">
        <v>1003046</v>
      </c>
      <c r="B54" s="1" t="s">
        <v>555</v>
      </c>
      <c r="C54" s="1">
        <v>103</v>
      </c>
      <c r="D54" s="2">
        <v>14900</v>
      </c>
      <c r="E54" s="1" t="s">
        <v>853</v>
      </c>
      <c r="F54" s="1">
        <v>5000288654</v>
      </c>
      <c r="G54" s="1">
        <v>500</v>
      </c>
      <c r="H54" s="1">
        <v>850</v>
      </c>
      <c r="I54" s="1">
        <f t="shared" ref="I54:I58" si="11">H54-G54</f>
        <v>350</v>
      </c>
      <c r="J54" s="1">
        <f t="shared" ref="J54:J58" si="12">I54*D54/1000</f>
        <v>5215</v>
      </c>
      <c r="K54" s="4">
        <v>460</v>
      </c>
      <c r="L54" s="4">
        <v>500</v>
      </c>
      <c r="M54" s="1">
        <f t="shared" ref="M54:M58" si="13">L54-K54</f>
        <v>40</v>
      </c>
      <c r="N54" s="1">
        <f t="shared" ref="N54:N58" si="14">M54*D54/1000</f>
        <v>596</v>
      </c>
    </row>
    <row r="55" spans="1:15" x14ac:dyDescent="0.25">
      <c r="A55" s="1">
        <v>1003046</v>
      </c>
      <c r="B55" s="1" t="s">
        <v>555</v>
      </c>
      <c r="C55" s="1">
        <v>103</v>
      </c>
      <c r="D55" s="1">
        <v>400</v>
      </c>
      <c r="E55" s="1" t="s">
        <v>853</v>
      </c>
      <c r="F55" s="1">
        <v>5000288654</v>
      </c>
      <c r="G55" s="1">
        <v>500</v>
      </c>
      <c r="H55" s="1">
        <v>850</v>
      </c>
      <c r="I55" s="1">
        <f t="shared" si="11"/>
        <v>350</v>
      </c>
      <c r="J55" s="1">
        <f t="shared" si="12"/>
        <v>140</v>
      </c>
      <c r="K55" s="4">
        <v>460</v>
      </c>
      <c r="L55" s="4">
        <v>500</v>
      </c>
      <c r="M55" s="1">
        <f t="shared" si="13"/>
        <v>40</v>
      </c>
      <c r="N55" s="1">
        <f t="shared" si="14"/>
        <v>16</v>
      </c>
    </row>
    <row r="56" spans="1:15" x14ac:dyDescent="0.25">
      <c r="A56" s="1">
        <v>1003046</v>
      </c>
      <c r="B56" s="1" t="s">
        <v>555</v>
      </c>
      <c r="C56" s="1">
        <v>103</v>
      </c>
      <c r="D56" s="2">
        <v>2700</v>
      </c>
      <c r="E56" s="1" t="s">
        <v>853</v>
      </c>
      <c r="F56" s="1">
        <v>5000288654</v>
      </c>
      <c r="G56" s="1">
        <v>500</v>
      </c>
      <c r="H56" s="1">
        <v>850</v>
      </c>
      <c r="I56" s="1">
        <f t="shared" si="11"/>
        <v>350</v>
      </c>
      <c r="J56" s="1">
        <f t="shared" si="12"/>
        <v>945</v>
      </c>
      <c r="K56" s="4">
        <v>460</v>
      </c>
      <c r="L56" s="4">
        <v>500</v>
      </c>
      <c r="M56" s="1">
        <f t="shared" si="13"/>
        <v>40</v>
      </c>
      <c r="N56" s="1">
        <f t="shared" si="14"/>
        <v>108</v>
      </c>
    </row>
    <row r="57" spans="1:15" x14ac:dyDescent="0.25">
      <c r="A57" s="1">
        <v>1003046</v>
      </c>
      <c r="B57" s="1" t="s">
        <v>555</v>
      </c>
      <c r="C57" s="1">
        <v>103</v>
      </c>
      <c r="D57" s="2">
        <v>28900</v>
      </c>
      <c r="E57" s="1" t="s">
        <v>849</v>
      </c>
      <c r="F57" s="1">
        <v>5000282737</v>
      </c>
      <c r="G57" s="1">
        <v>500</v>
      </c>
      <c r="H57" s="1">
        <v>850</v>
      </c>
      <c r="I57" s="1">
        <f t="shared" si="11"/>
        <v>350</v>
      </c>
      <c r="J57" s="1">
        <f t="shared" si="12"/>
        <v>10115</v>
      </c>
      <c r="K57" s="4">
        <v>460</v>
      </c>
      <c r="L57" s="4">
        <v>500</v>
      </c>
      <c r="M57" s="1">
        <f t="shared" si="13"/>
        <v>40</v>
      </c>
      <c r="N57" s="1">
        <f t="shared" si="14"/>
        <v>1156</v>
      </c>
    </row>
    <row r="58" spans="1:15" x14ac:dyDescent="0.25">
      <c r="A58" s="1">
        <v>1003046</v>
      </c>
      <c r="B58" s="1" t="s">
        <v>555</v>
      </c>
      <c r="C58" s="1">
        <v>103</v>
      </c>
      <c r="D58" s="2">
        <v>3100</v>
      </c>
      <c r="E58" s="1" t="s">
        <v>849</v>
      </c>
      <c r="F58" s="1">
        <v>5000282737</v>
      </c>
      <c r="G58" s="1">
        <v>500</v>
      </c>
      <c r="H58" s="1">
        <v>850</v>
      </c>
      <c r="I58" s="1">
        <f t="shared" si="11"/>
        <v>350</v>
      </c>
      <c r="J58" s="1">
        <f t="shared" si="12"/>
        <v>1085</v>
      </c>
      <c r="K58" s="4">
        <v>460</v>
      </c>
      <c r="L58" s="4">
        <v>500</v>
      </c>
      <c r="M58" s="1">
        <f t="shared" si="13"/>
        <v>40</v>
      </c>
      <c r="N58" s="1">
        <f t="shared" si="14"/>
        <v>124</v>
      </c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5" x14ac:dyDescent="0.25">
      <c r="A60" s="1"/>
      <c r="B60" s="1"/>
      <c r="C60" s="1"/>
      <c r="D60" s="2">
        <f>SUM(D52:D59)</f>
        <v>70000</v>
      </c>
      <c r="E60" s="2">
        <f>SUM(D54:D58)</f>
        <v>50000</v>
      </c>
      <c r="F60" s="1"/>
      <c r="G60" s="1"/>
      <c r="H60" s="1"/>
      <c r="I60" s="1" t="s">
        <v>58</v>
      </c>
      <c r="J60" s="1">
        <f>SUM(J52:J58)</f>
        <v>20500</v>
      </c>
      <c r="K60" s="1"/>
      <c r="L60" s="1"/>
      <c r="M60" s="1"/>
      <c r="N60" s="1">
        <f>SUM(N52:N58)</f>
        <v>2000</v>
      </c>
    </row>
    <row r="62" spans="1:15" x14ac:dyDescent="0.25">
      <c r="A62" s="1"/>
      <c r="B62" s="1"/>
      <c r="C62" s="1"/>
      <c r="D62" s="1"/>
      <c r="E62" s="1"/>
      <c r="F62" s="1"/>
      <c r="G62" s="199" t="s">
        <v>603</v>
      </c>
      <c r="H62" s="199"/>
      <c r="I62" s="199"/>
      <c r="J62" s="199"/>
      <c r="K62" s="200"/>
      <c r="L62" s="200"/>
      <c r="M62" s="200"/>
      <c r="N62" s="200"/>
      <c r="O62" s="8"/>
    </row>
    <row r="63" spans="1:15" x14ac:dyDescent="0.25">
      <c r="A63" s="1" t="s">
        <v>438</v>
      </c>
      <c r="B63" s="1" t="s">
        <v>439</v>
      </c>
      <c r="C63" s="1" t="s">
        <v>172</v>
      </c>
      <c r="D63" s="1" t="s">
        <v>22</v>
      </c>
      <c r="E63" s="1" t="s">
        <v>594</v>
      </c>
      <c r="F63" s="1" t="s">
        <v>172</v>
      </c>
      <c r="G63" s="1" t="s">
        <v>804</v>
      </c>
      <c r="H63" s="1" t="s">
        <v>210</v>
      </c>
      <c r="I63" s="1" t="s">
        <v>602</v>
      </c>
      <c r="J63" s="1" t="s">
        <v>443</v>
      </c>
      <c r="K63" s="8"/>
      <c r="L63" s="8"/>
      <c r="M63" s="8"/>
      <c r="N63" s="8"/>
      <c r="O63" s="8"/>
    </row>
    <row r="64" spans="1:15" x14ac:dyDescent="0.25">
      <c r="A64" s="1">
        <v>1001642</v>
      </c>
      <c r="B64" s="1" t="s">
        <v>211</v>
      </c>
      <c r="C64" s="1">
        <v>103</v>
      </c>
      <c r="D64" s="1">
        <v>503.9</v>
      </c>
      <c r="E64" s="1" t="s">
        <v>854</v>
      </c>
      <c r="F64" s="1">
        <v>5000285554</v>
      </c>
      <c r="G64" s="1">
        <v>135.85</v>
      </c>
      <c r="H64" s="1">
        <v>144.05000000000001</v>
      </c>
      <c r="I64" s="1">
        <f>H64-G64</f>
        <v>8.2000000000000171</v>
      </c>
      <c r="J64" s="1">
        <f>I64*D64</f>
        <v>4131.9800000000087</v>
      </c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 t="s">
        <v>58</v>
      </c>
      <c r="J66" s="1">
        <f>J64</f>
        <v>4131.9800000000087</v>
      </c>
    </row>
    <row r="67" spans="1:1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1" x14ac:dyDescent="0.25">
      <c r="A70" s="5" t="s">
        <v>753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5" t="s">
        <v>765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 t="s">
        <v>763</v>
      </c>
      <c r="I72" s="1" t="s">
        <v>764</v>
      </c>
      <c r="J72" s="1" t="s">
        <v>52</v>
      </c>
      <c r="K72" s="1" t="s">
        <v>21</v>
      </c>
    </row>
    <row r="73" spans="1:11" x14ac:dyDescent="0.25">
      <c r="A73" s="1" t="s">
        <v>438</v>
      </c>
      <c r="B73" s="1" t="s">
        <v>439</v>
      </c>
      <c r="C73" s="1"/>
      <c r="D73" s="1" t="s">
        <v>22</v>
      </c>
      <c r="E73" s="1" t="s">
        <v>594</v>
      </c>
      <c r="F73" s="1" t="s">
        <v>172</v>
      </c>
      <c r="G73" s="1" t="s">
        <v>679</v>
      </c>
      <c r="H73" s="1"/>
      <c r="I73" s="1" t="s">
        <v>805</v>
      </c>
      <c r="J73" s="1" t="s">
        <v>602</v>
      </c>
      <c r="K73" s="1" t="s">
        <v>443</v>
      </c>
    </row>
    <row r="74" spans="1:11" x14ac:dyDescent="0.25">
      <c r="A74" s="1">
        <v>1003195</v>
      </c>
      <c r="B74" s="1" t="s">
        <v>818</v>
      </c>
      <c r="C74" s="1">
        <v>103</v>
      </c>
      <c r="D74" s="1">
        <v>3.84</v>
      </c>
      <c r="E74" s="1" t="s">
        <v>853</v>
      </c>
      <c r="F74" s="1">
        <v>5000288740</v>
      </c>
      <c r="G74" s="1">
        <v>114</v>
      </c>
      <c r="H74" s="1">
        <v>194.45</v>
      </c>
      <c r="I74" s="1">
        <v>198.2</v>
      </c>
      <c r="J74" s="1">
        <f>I74-H74</f>
        <v>3.75</v>
      </c>
      <c r="K74" s="1">
        <f>J74*D74</f>
        <v>14.399999999999999</v>
      </c>
    </row>
    <row r="75" spans="1:11" x14ac:dyDescent="0.25">
      <c r="A75" s="1">
        <v>1003195</v>
      </c>
      <c r="B75" s="1" t="s">
        <v>818</v>
      </c>
      <c r="C75" s="1">
        <v>103</v>
      </c>
      <c r="D75" s="1">
        <v>819.59</v>
      </c>
      <c r="E75" s="1" t="s">
        <v>853</v>
      </c>
      <c r="F75" s="1">
        <v>5000288740</v>
      </c>
      <c r="G75" s="1">
        <v>114</v>
      </c>
      <c r="H75" s="1">
        <v>194.45</v>
      </c>
      <c r="I75" s="1">
        <v>198.2</v>
      </c>
      <c r="J75" s="1">
        <f t="shared" ref="J75:J119" si="15">I75-H75</f>
        <v>3.75</v>
      </c>
      <c r="K75" s="1">
        <f t="shared" ref="K75:K119" si="16">J75*D75</f>
        <v>3073.4625000000001</v>
      </c>
    </row>
    <row r="76" spans="1:11" x14ac:dyDescent="0.25">
      <c r="A76" s="1">
        <v>1003195</v>
      </c>
      <c r="B76" s="1" t="s">
        <v>818</v>
      </c>
      <c r="C76" s="1">
        <v>103</v>
      </c>
      <c r="D76" s="1">
        <v>37.21</v>
      </c>
      <c r="E76" s="1" t="s">
        <v>853</v>
      </c>
      <c r="F76" s="1">
        <v>5000288740</v>
      </c>
      <c r="G76" s="1">
        <v>114</v>
      </c>
      <c r="H76" s="1">
        <v>194.45</v>
      </c>
      <c r="I76" s="1">
        <v>198.2</v>
      </c>
      <c r="J76" s="1">
        <f t="shared" si="15"/>
        <v>3.75</v>
      </c>
      <c r="K76" s="1">
        <f t="shared" si="16"/>
        <v>139.53749999999999</v>
      </c>
    </row>
    <row r="77" spans="1:11" x14ac:dyDescent="0.25">
      <c r="A77" s="1">
        <v>1003195</v>
      </c>
      <c r="B77" s="1" t="s">
        <v>818</v>
      </c>
      <c r="C77" s="1">
        <v>103</v>
      </c>
      <c r="D77" s="1">
        <v>37.21</v>
      </c>
      <c r="E77" s="1" t="s">
        <v>845</v>
      </c>
      <c r="F77" s="1">
        <v>5000282278</v>
      </c>
      <c r="G77" s="1">
        <v>114</v>
      </c>
      <c r="H77" s="1">
        <v>194.45</v>
      </c>
      <c r="I77" s="1">
        <v>198.2</v>
      </c>
      <c r="J77" s="1">
        <f t="shared" si="15"/>
        <v>3.75</v>
      </c>
      <c r="K77" s="1">
        <f t="shared" si="16"/>
        <v>139.53749999999999</v>
      </c>
    </row>
    <row r="78" spans="1:11" x14ac:dyDescent="0.25">
      <c r="A78" s="1">
        <v>1003195</v>
      </c>
      <c r="B78" s="1" t="s">
        <v>818</v>
      </c>
      <c r="C78" s="1">
        <v>103</v>
      </c>
      <c r="D78" s="1">
        <v>840</v>
      </c>
      <c r="E78" s="1" t="s">
        <v>845</v>
      </c>
      <c r="F78" s="1">
        <v>5000282278</v>
      </c>
      <c r="G78" s="1">
        <v>114</v>
      </c>
      <c r="H78" s="1">
        <v>194.45</v>
      </c>
      <c r="I78" s="1">
        <v>198.2</v>
      </c>
      <c r="J78" s="1">
        <f t="shared" si="15"/>
        <v>3.75</v>
      </c>
      <c r="K78" s="1">
        <f t="shared" si="16"/>
        <v>3150</v>
      </c>
    </row>
    <row r="79" spans="1:11" x14ac:dyDescent="0.25">
      <c r="A79" s="1">
        <v>1003194</v>
      </c>
      <c r="B79" s="1" t="s">
        <v>817</v>
      </c>
      <c r="C79" s="1">
        <v>103</v>
      </c>
      <c r="D79" s="1">
        <v>467.34</v>
      </c>
      <c r="E79" s="1" t="s">
        <v>853</v>
      </c>
      <c r="F79" s="1">
        <v>5000288740</v>
      </c>
      <c r="G79" s="1">
        <v>114</v>
      </c>
      <c r="H79" s="1">
        <v>194.45</v>
      </c>
      <c r="I79" s="1">
        <v>198.2</v>
      </c>
      <c r="J79" s="1">
        <f t="shared" si="15"/>
        <v>3.75</v>
      </c>
      <c r="K79" s="1">
        <f t="shared" si="16"/>
        <v>1752.5249999999999</v>
      </c>
    </row>
    <row r="80" spans="1:11" x14ac:dyDescent="0.25">
      <c r="A80" s="1">
        <v>1003194</v>
      </c>
      <c r="B80" s="1" t="s">
        <v>817</v>
      </c>
      <c r="C80" s="1">
        <v>103</v>
      </c>
      <c r="D80" s="1">
        <v>41.11</v>
      </c>
      <c r="E80" s="1" t="s">
        <v>853</v>
      </c>
      <c r="F80" s="1">
        <v>5000288740</v>
      </c>
      <c r="G80" s="1">
        <v>114</v>
      </c>
      <c r="H80" s="1">
        <v>194.45</v>
      </c>
      <c r="I80" s="1">
        <v>198.2</v>
      </c>
      <c r="J80" s="1">
        <f t="shared" si="15"/>
        <v>3.75</v>
      </c>
      <c r="K80" s="1">
        <f t="shared" si="16"/>
        <v>154.16249999999999</v>
      </c>
    </row>
    <row r="81" spans="1:11" x14ac:dyDescent="0.25">
      <c r="A81" s="1">
        <v>1003194</v>
      </c>
      <c r="B81" s="1" t="s">
        <v>817</v>
      </c>
      <c r="C81" s="1">
        <v>103</v>
      </c>
      <c r="D81" s="3">
        <v>1029.8499999999999</v>
      </c>
      <c r="E81" s="1" t="s">
        <v>853</v>
      </c>
      <c r="F81" s="1">
        <v>5000288980</v>
      </c>
      <c r="G81" s="1">
        <v>114</v>
      </c>
      <c r="H81" s="1">
        <v>194.45</v>
      </c>
      <c r="I81" s="1">
        <v>198.2</v>
      </c>
      <c r="J81" s="1">
        <f t="shared" si="15"/>
        <v>3.75</v>
      </c>
      <c r="K81" s="1">
        <f t="shared" si="16"/>
        <v>3861.9374999999995</v>
      </c>
    </row>
    <row r="82" spans="1:11" x14ac:dyDescent="0.25">
      <c r="A82" s="1">
        <v>1003194</v>
      </c>
      <c r="B82" s="1" t="s">
        <v>817</v>
      </c>
      <c r="C82" s="1">
        <v>103</v>
      </c>
      <c r="D82" s="3">
        <v>1029.6199999999999</v>
      </c>
      <c r="E82" s="1" t="s">
        <v>847</v>
      </c>
      <c r="F82" s="1">
        <v>5000288254</v>
      </c>
      <c r="G82" s="1">
        <v>114</v>
      </c>
      <c r="H82" s="1">
        <v>194.45</v>
      </c>
      <c r="I82" s="1">
        <v>198.2</v>
      </c>
      <c r="J82" s="1">
        <f t="shared" si="15"/>
        <v>3.75</v>
      </c>
      <c r="K82" s="1">
        <f t="shared" si="16"/>
        <v>3861.0749999999998</v>
      </c>
    </row>
    <row r="83" spans="1:11" x14ac:dyDescent="0.25">
      <c r="A83" s="1">
        <v>1003194</v>
      </c>
      <c r="B83" s="1" t="s">
        <v>817</v>
      </c>
      <c r="C83" s="1">
        <v>103</v>
      </c>
      <c r="D83" s="1">
        <v>42.66</v>
      </c>
      <c r="E83" s="1" t="s">
        <v>845</v>
      </c>
      <c r="F83" s="1">
        <v>5000282278</v>
      </c>
      <c r="G83" s="1">
        <v>114</v>
      </c>
      <c r="H83" s="1">
        <v>194.45</v>
      </c>
      <c r="I83" s="1">
        <v>198.2</v>
      </c>
      <c r="J83" s="1">
        <f t="shared" si="15"/>
        <v>3.75</v>
      </c>
      <c r="K83" s="1">
        <f t="shared" si="16"/>
        <v>159.97499999999999</v>
      </c>
    </row>
    <row r="84" spans="1:11" x14ac:dyDescent="0.25">
      <c r="A84" s="1">
        <v>1003194</v>
      </c>
      <c r="B84" s="1" t="s">
        <v>817</v>
      </c>
      <c r="C84" s="1">
        <v>103</v>
      </c>
      <c r="D84" s="2">
        <v>1850</v>
      </c>
      <c r="E84" s="1" t="s">
        <v>845</v>
      </c>
      <c r="F84" s="1">
        <v>5000282278</v>
      </c>
      <c r="G84" s="1">
        <v>114</v>
      </c>
      <c r="H84" s="1">
        <v>194.45</v>
      </c>
      <c r="I84" s="1">
        <v>198.2</v>
      </c>
      <c r="J84" s="1">
        <f t="shared" si="15"/>
        <v>3.75</v>
      </c>
      <c r="K84" s="1">
        <f t="shared" si="16"/>
        <v>6937.5</v>
      </c>
    </row>
    <row r="85" spans="1:11" x14ac:dyDescent="0.25">
      <c r="A85" s="1">
        <v>1003193</v>
      </c>
      <c r="B85" s="1" t="s">
        <v>816</v>
      </c>
      <c r="C85" s="1">
        <v>103</v>
      </c>
      <c r="D85" s="2">
        <v>1255</v>
      </c>
      <c r="E85" s="1" t="s">
        <v>853</v>
      </c>
      <c r="F85" s="1">
        <v>5000288740</v>
      </c>
      <c r="G85" s="1">
        <v>114</v>
      </c>
      <c r="H85" s="1">
        <v>194.45</v>
      </c>
      <c r="I85" s="1">
        <v>198.2</v>
      </c>
      <c r="J85" s="1">
        <f t="shared" si="15"/>
        <v>3.75</v>
      </c>
      <c r="K85" s="1">
        <f t="shared" si="16"/>
        <v>4706.25</v>
      </c>
    </row>
    <row r="86" spans="1:11" x14ac:dyDescent="0.25">
      <c r="A86" s="1">
        <v>1003193</v>
      </c>
      <c r="B86" s="1" t="s">
        <v>816</v>
      </c>
      <c r="C86" s="1">
        <v>103</v>
      </c>
      <c r="D86" s="1">
        <v>62.83</v>
      </c>
      <c r="E86" s="1" t="s">
        <v>853</v>
      </c>
      <c r="F86" s="1">
        <v>5000288740</v>
      </c>
      <c r="G86" s="1">
        <v>114</v>
      </c>
      <c r="H86" s="1">
        <v>194.45</v>
      </c>
      <c r="I86" s="1">
        <v>198.2</v>
      </c>
      <c r="J86" s="1">
        <f t="shared" si="15"/>
        <v>3.75</v>
      </c>
      <c r="K86" s="1">
        <f t="shared" si="16"/>
        <v>235.61249999999998</v>
      </c>
    </row>
    <row r="87" spans="1:11" x14ac:dyDescent="0.25">
      <c r="A87" s="1">
        <v>1003193</v>
      </c>
      <c r="B87" s="1" t="s">
        <v>816</v>
      </c>
      <c r="C87" s="1">
        <v>103</v>
      </c>
      <c r="D87" s="1">
        <v>81.11</v>
      </c>
      <c r="E87" s="1" t="s">
        <v>845</v>
      </c>
      <c r="F87" s="1">
        <v>5000282278</v>
      </c>
      <c r="G87" s="1">
        <v>114</v>
      </c>
      <c r="H87" s="1">
        <v>194.45</v>
      </c>
      <c r="I87" s="1">
        <v>198.2</v>
      </c>
      <c r="J87" s="1">
        <f t="shared" si="15"/>
        <v>3.75</v>
      </c>
      <c r="K87" s="1">
        <f t="shared" si="16"/>
        <v>304.16250000000002</v>
      </c>
    </row>
    <row r="88" spans="1:11" x14ac:dyDescent="0.25">
      <c r="A88" s="1">
        <v>1003193</v>
      </c>
      <c r="B88" s="1" t="s">
        <v>816</v>
      </c>
      <c r="C88" s="1">
        <v>103</v>
      </c>
      <c r="D88" s="2">
        <v>1550</v>
      </c>
      <c r="E88" s="1" t="s">
        <v>845</v>
      </c>
      <c r="F88" s="1">
        <v>5000282278</v>
      </c>
      <c r="G88" s="1">
        <v>114</v>
      </c>
      <c r="H88" s="1">
        <v>194.45</v>
      </c>
      <c r="I88" s="1">
        <v>198.2</v>
      </c>
      <c r="J88" s="1">
        <f t="shared" si="15"/>
        <v>3.75</v>
      </c>
      <c r="K88" s="1">
        <f t="shared" si="16"/>
        <v>5812.5</v>
      </c>
    </row>
    <row r="89" spans="1:11" x14ac:dyDescent="0.25">
      <c r="A89" s="1">
        <v>1003193</v>
      </c>
      <c r="B89" s="1" t="s">
        <v>816</v>
      </c>
      <c r="C89" s="1">
        <v>103</v>
      </c>
      <c r="D89" s="1">
        <v>484</v>
      </c>
      <c r="E89" s="1" t="s">
        <v>845</v>
      </c>
      <c r="F89" s="1">
        <v>5000282278</v>
      </c>
      <c r="G89" s="1">
        <v>114</v>
      </c>
      <c r="H89" s="1">
        <v>194.45</v>
      </c>
      <c r="I89" s="1">
        <v>198.2</v>
      </c>
      <c r="J89" s="1">
        <f t="shared" si="15"/>
        <v>3.75</v>
      </c>
      <c r="K89" s="1">
        <f t="shared" si="16"/>
        <v>1815</v>
      </c>
    </row>
    <row r="90" spans="1:11" x14ac:dyDescent="0.25">
      <c r="A90" s="1">
        <v>1002676</v>
      </c>
      <c r="B90" s="1" t="s">
        <v>189</v>
      </c>
      <c r="C90" s="1">
        <v>103</v>
      </c>
      <c r="D90" s="1">
        <v>490.62</v>
      </c>
      <c r="E90" s="1" t="s">
        <v>853</v>
      </c>
      <c r="F90" s="1">
        <v>5000288980</v>
      </c>
      <c r="G90" s="1">
        <v>114</v>
      </c>
      <c r="H90" s="1">
        <v>194.45</v>
      </c>
      <c r="I90" s="1">
        <v>198.2</v>
      </c>
      <c r="J90" s="1">
        <f t="shared" si="15"/>
        <v>3.75</v>
      </c>
      <c r="K90" s="1">
        <f t="shared" si="16"/>
        <v>1839.825</v>
      </c>
    </row>
    <row r="91" spans="1:11" x14ac:dyDescent="0.25">
      <c r="A91" s="1">
        <v>1002676</v>
      </c>
      <c r="B91" s="1" t="s">
        <v>189</v>
      </c>
      <c r="C91" s="1">
        <v>103</v>
      </c>
      <c r="D91" s="1">
        <v>490.62</v>
      </c>
      <c r="E91" s="1" t="s">
        <v>847</v>
      </c>
      <c r="F91" s="1">
        <v>5000288254</v>
      </c>
      <c r="G91" s="1">
        <v>114</v>
      </c>
      <c r="H91" s="1">
        <v>194.45</v>
      </c>
      <c r="I91" s="1">
        <v>198.2</v>
      </c>
      <c r="J91" s="1">
        <f t="shared" si="15"/>
        <v>3.75</v>
      </c>
      <c r="K91" s="1">
        <f t="shared" si="16"/>
        <v>1839.825</v>
      </c>
    </row>
    <row r="92" spans="1:11" x14ac:dyDescent="0.25">
      <c r="A92" s="1">
        <v>1002823</v>
      </c>
      <c r="B92" s="1" t="s">
        <v>534</v>
      </c>
      <c r="C92" s="1">
        <v>103</v>
      </c>
      <c r="D92" s="1">
        <v>500</v>
      </c>
      <c r="E92" s="1" t="s">
        <v>845</v>
      </c>
      <c r="F92" s="1">
        <v>5000282279</v>
      </c>
      <c r="G92" s="1">
        <v>114</v>
      </c>
      <c r="H92" s="1">
        <v>178.17</v>
      </c>
      <c r="I92" s="1">
        <v>182</v>
      </c>
      <c r="J92" s="1">
        <f t="shared" si="15"/>
        <v>3.8300000000000125</v>
      </c>
      <c r="K92" s="1">
        <f t="shared" si="16"/>
        <v>1915.0000000000064</v>
      </c>
    </row>
    <row r="93" spans="1:11" x14ac:dyDescent="0.25">
      <c r="A93" s="1">
        <v>1002823</v>
      </c>
      <c r="B93" s="1" t="s">
        <v>534</v>
      </c>
      <c r="C93" s="1">
        <v>103</v>
      </c>
      <c r="D93" s="1">
        <v>22.94</v>
      </c>
      <c r="E93" s="1" t="s">
        <v>845</v>
      </c>
      <c r="F93" s="1">
        <v>5000282279</v>
      </c>
      <c r="G93" s="1">
        <v>114</v>
      </c>
      <c r="H93" s="1">
        <v>178.17</v>
      </c>
      <c r="I93" s="1">
        <v>182</v>
      </c>
      <c r="J93" s="1">
        <f t="shared" si="15"/>
        <v>3.8300000000000125</v>
      </c>
      <c r="K93" s="1">
        <f t="shared" si="16"/>
        <v>87.86020000000029</v>
      </c>
    </row>
    <row r="94" spans="1:11" x14ac:dyDescent="0.25">
      <c r="A94" s="1">
        <v>1000582</v>
      </c>
      <c r="B94" s="1" t="s">
        <v>755</v>
      </c>
      <c r="C94" s="1">
        <v>103</v>
      </c>
      <c r="D94" s="3">
        <v>1750.4</v>
      </c>
      <c r="E94" s="1" t="s">
        <v>855</v>
      </c>
      <c r="F94" s="1">
        <v>5000284800</v>
      </c>
      <c r="G94" s="1">
        <v>114</v>
      </c>
      <c r="H94" s="1">
        <v>178.17</v>
      </c>
      <c r="I94" s="1">
        <v>182</v>
      </c>
      <c r="J94" s="1">
        <f t="shared" si="15"/>
        <v>3.8300000000000125</v>
      </c>
      <c r="K94" s="1">
        <f t="shared" si="16"/>
        <v>6704.032000000022</v>
      </c>
    </row>
    <row r="95" spans="1:11" x14ac:dyDescent="0.25">
      <c r="A95" s="1">
        <v>1002828</v>
      </c>
      <c r="B95" s="1" t="s">
        <v>856</v>
      </c>
      <c r="C95" s="1">
        <v>103</v>
      </c>
      <c r="D95" s="1">
        <v>24.36</v>
      </c>
      <c r="E95" s="1" t="s">
        <v>857</v>
      </c>
      <c r="F95" s="1">
        <v>5000282362</v>
      </c>
      <c r="G95" s="1">
        <v>114</v>
      </c>
      <c r="H95" s="1">
        <v>178.17</v>
      </c>
      <c r="I95" s="1">
        <v>182</v>
      </c>
      <c r="J95" s="1">
        <f t="shared" si="15"/>
        <v>3.8300000000000125</v>
      </c>
      <c r="K95" s="1">
        <f t="shared" si="16"/>
        <v>93.298800000000298</v>
      </c>
    </row>
    <row r="96" spans="1:11" x14ac:dyDescent="0.25">
      <c r="A96" s="1">
        <v>1002828</v>
      </c>
      <c r="B96" s="1" t="s">
        <v>856</v>
      </c>
      <c r="C96" s="1">
        <v>103</v>
      </c>
      <c r="D96" s="1">
        <v>500</v>
      </c>
      <c r="E96" s="1" t="s">
        <v>857</v>
      </c>
      <c r="F96" s="1">
        <v>5000282362</v>
      </c>
      <c r="G96" s="1">
        <v>114</v>
      </c>
      <c r="H96" s="1">
        <v>178.17</v>
      </c>
      <c r="I96" s="1">
        <v>182</v>
      </c>
      <c r="J96" s="1">
        <f t="shared" si="15"/>
        <v>3.8300000000000125</v>
      </c>
      <c r="K96" s="1">
        <f t="shared" si="16"/>
        <v>1915.0000000000064</v>
      </c>
    </row>
    <row r="97" spans="1:11" x14ac:dyDescent="0.25">
      <c r="A97" s="1">
        <v>1003100</v>
      </c>
      <c r="B97" s="1" t="s">
        <v>858</v>
      </c>
      <c r="C97" s="1">
        <v>103</v>
      </c>
      <c r="D97" s="1">
        <v>491.25</v>
      </c>
      <c r="E97" s="1" t="s">
        <v>857</v>
      </c>
      <c r="F97" s="1">
        <v>5000282362</v>
      </c>
      <c r="G97" s="1">
        <v>114</v>
      </c>
      <c r="H97" s="1">
        <v>178.17</v>
      </c>
      <c r="I97" s="1">
        <v>182</v>
      </c>
      <c r="J97" s="1">
        <f t="shared" si="15"/>
        <v>3.8300000000000125</v>
      </c>
      <c r="K97" s="1">
        <f t="shared" si="16"/>
        <v>1881.4875000000061</v>
      </c>
    </row>
    <row r="98" spans="1:11" x14ac:dyDescent="0.25">
      <c r="A98" s="1">
        <v>1003150</v>
      </c>
      <c r="B98" s="1" t="s">
        <v>814</v>
      </c>
      <c r="C98" s="1">
        <v>103</v>
      </c>
      <c r="D98" s="1">
        <v>490</v>
      </c>
      <c r="E98" s="1" t="s">
        <v>857</v>
      </c>
      <c r="F98" s="1">
        <v>5000282362</v>
      </c>
      <c r="G98" s="1">
        <v>114</v>
      </c>
      <c r="H98" s="1">
        <v>178.17</v>
      </c>
      <c r="I98" s="1">
        <v>182</v>
      </c>
      <c r="J98" s="1">
        <f t="shared" si="15"/>
        <v>3.8300000000000125</v>
      </c>
      <c r="K98" s="1">
        <f t="shared" si="16"/>
        <v>1876.7000000000062</v>
      </c>
    </row>
    <row r="99" spans="1:11" x14ac:dyDescent="0.25">
      <c r="A99" s="1">
        <v>1003150</v>
      </c>
      <c r="B99" s="1" t="s">
        <v>814</v>
      </c>
      <c r="C99" s="1">
        <v>103</v>
      </c>
      <c r="D99" s="1">
        <v>21.7</v>
      </c>
      <c r="E99" s="1" t="s">
        <v>857</v>
      </c>
      <c r="F99" s="1">
        <v>5000282362</v>
      </c>
      <c r="G99" s="1">
        <v>114</v>
      </c>
      <c r="H99" s="1">
        <v>178.17</v>
      </c>
      <c r="I99" s="1">
        <v>182</v>
      </c>
      <c r="J99" s="1">
        <f t="shared" si="15"/>
        <v>3.8300000000000125</v>
      </c>
      <c r="K99" s="1">
        <f t="shared" si="16"/>
        <v>83.111000000000274</v>
      </c>
    </row>
    <row r="100" spans="1:11" x14ac:dyDescent="0.25">
      <c r="A100" s="1">
        <v>1003150</v>
      </c>
      <c r="B100" s="1" t="s">
        <v>814</v>
      </c>
      <c r="C100" s="1">
        <v>103</v>
      </c>
      <c r="D100" s="1">
        <v>9.6199999999999992</v>
      </c>
      <c r="E100" s="1" t="s">
        <v>857</v>
      </c>
      <c r="F100" s="1">
        <v>5000282362</v>
      </c>
      <c r="G100" s="1">
        <v>114</v>
      </c>
      <c r="H100" s="1">
        <v>178.17</v>
      </c>
      <c r="I100" s="1">
        <v>182</v>
      </c>
      <c r="J100" s="1">
        <f t="shared" si="15"/>
        <v>3.8300000000000125</v>
      </c>
      <c r="K100" s="1">
        <f t="shared" si="16"/>
        <v>36.844600000000121</v>
      </c>
    </row>
    <row r="101" spans="1:11" x14ac:dyDescent="0.25">
      <c r="A101" s="1">
        <v>1002866</v>
      </c>
      <c r="B101" s="1" t="s">
        <v>859</v>
      </c>
      <c r="C101" s="1">
        <v>103</v>
      </c>
      <c r="D101" s="1">
        <v>503.3</v>
      </c>
      <c r="E101" s="1" t="s">
        <v>845</v>
      </c>
      <c r="F101" s="1">
        <v>5000282291</v>
      </c>
      <c r="G101" s="1">
        <v>114</v>
      </c>
      <c r="H101" s="1">
        <v>178.17</v>
      </c>
      <c r="I101" s="1">
        <v>182</v>
      </c>
      <c r="J101" s="1">
        <f t="shared" si="15"/>
        <v>3.8300000000000125</v>
      </c>
      <c r="K101" s="1">
        <f t="shared" si="16"/>
        <v>1927.6390000000063</v>
      </c>
    </row>
    <row r="102" spans="1:11" x14ac:dyDescent="0.25">
      <c r="A102" s="1">
        <v>1002945</v>
      </c>
      <c r="B102" s="1" t="s">
        <v>812</v>
      </c>
      <c r="C102" s="1">
        <v>103</v>
      </c>
      <c r="D102" s="1">
        <v>516.84</v>
      </c>
      <c r="E102" s="1" t="s">
        <v>855</v>
      </c>
      <c r="F102" s="1">
        <v>5000284799</v>
      </c>
      <c r="G102" s="1">
        <v>114</v>
      </c>
      <c r="H102" s="1">
        <v>178.17</v>
      </c>
      <c r="I102" s="1">
        <v>182</v>
      </c>
      <c r="J102" s="1">
        <f t="shared" si="15"/>
        <v>3.8300000000000125</v>
      </c>
      <c r="K102" s="1">
        <f t="shared" si="16"/>
        <v>1979.4972000000066</v>
      </c>
    </row>
    <row r="103" spans="1:11" x14ac:dyDescent="0.25">
      <c r="A103" s="1">
        <v>1002821</v>
      </c>
      <c r="B103" s="1" t="s">
        <v>767</v>
      </c>
      <c r="C103" s="1">
        <v>103</v>
      </c>
      <c r="D103" s="1">
        <v>500</v>
      </c>
      <c r="E103" s="1" t="s">
        <v>845</v>
      </c>
      <c r="F103" s="1">
        <v>5000282279</v>
      </c>
      <c r="G103" s="1">
        <v>114</v>
      </c>
      <c r="H103" s="1">
        <v>178.17</v>
      </c>
      <c r="I103" s="1">
        <v>182</v>
      </c>
      <c r="J103" s="1">
        <f t="shared" si="15"/>
        <v>3.8300000000000125</v>
      </c>
      <c r="K103" s="1">
        <f t="shared" si="16"/>
        <v>1915.0000000000064</v>
      </c>
    </row>
    <row r="104" spans="1:11" x14ac:dyDescent="0.25">
      <c r="A104" s="1">
        <v>1002821</v>
      </c>
      <c r="B104" s="1" t="s">
        <v>767</v>
      </c>
      <c r="C104" s="1">
        <v>103</v>
      </c>
      <c r="D104" s="1">
        <v>24.82</v>
      </c>
      <c r="E104" s="1" t="s">
        <v>845</v>
      </c>
      <c r="F104" s="1">
        <v>5000282279</v>
      </c>
      <c r="G104" s="1">
        <v>114</v>
      </c>
      <c r="H104" s="1">
        <v>178.17</v>
      </c>
      <c r="I104" s="1">
        <v>182</v>
      </c>
      <c r="J104" s="1">
        <f t="shared" si="15"/>
        <v>3.8300000000000125</v>
      </c>
      <c r="K104" s="1">
        <f t="shared" si="16"/>
        <v>95.060600000000306</v>
      </c>
    </row>
    <row r="105" spans="1:11" x14ac:dyDescent="0.25">
      <c r="A105" s="1">
        <v>1002822</v>
      </c>
      <c r="B105" s="1" t="s">
        <v>759</v>
      </c>
      <c r="C105" s="1">
        <v>103</v>
      </c>
      <c r="D105" s="1">
        <v>468.05</v>
      </c>
      <c r="E105" s="1" t="s">
        <v>857</v>
      </c>
      <c r="F105" s="1">
        <v>5000282362</v>
      </c>
      <c r="G105" s="1">
        <v>114</v>
      </c>
      <c r="H105" s="1">
        <v>178.17</v>
      </c>
      <c r="I105" s="1">
        <v>182</v>
      </c>
      <c r="J105" s="1">
        <f t="shared" si="15"/>
        <v>3.8300000000000125</v>
      </c>
      <c r="K105" s="1">
        <f t="shared" si="16"/>
        <v>1792.6315000000059</v>
      </c>
    </row>
    <row r="106" spans="1:11" x14ac:dyDescent="0.25">
      <c r="A106" s="1">
        <v>1002822</v>
      </c>
      <c r="B106" s="1" t="s">
        <v>759</v>
      </c>
      <c r="C106" s="1">
        <v>103</v>
      </c>
      <c r="D106" s="1">
        <v>502.74</v>
      </c>
      <c r="E106" s="1" t="s">
        <v>845</v>
      </c>
      <c r="F106" s="1">
        <v>5000282291</v>
      </c>
      <c r="G106" s="1">
        <v>114</v>
      </c>
      <c r="H106" s="1">
        <v>178.17</v>
      </c>
      <c r="I106" s="1">
        <v>182</v>
      </c>
      <c r="J106" s="1">
        <f t="shared" si="15"/>
        <v>3.8300000000000125</v>
      </c>
      <c r="K106" s="1">
        <f t="shared" si="16"/>
        <v>1925.4942000000062</v>
      </c>
    </row>
    <row r="107" spans="1:11" x14ac:dyDescent="0.25">
      <c r="A107" s="1">
        <v>1003151</v>
      </c>
      <c r="B107" s="1" t="s">
        <v>815</v>
      </c>
      <c r="C107" s="1">
        <v>103</v>
      </c>
      <c r="D107" s="1">
        <v>24.84</v>
      </c>
      <c r="E107" s="1" t="s">
        <v>857</v>
      </c>
      <c r="F107" s="1">
        <v>5000282362</v>
      </c>
      <c r="G107" s="1">
        <v>114</v>
      </c>
      <c r="H107" s="1">
        <v>178.17</v>
      </c>
      <c r="I107" s="1">
        <v>182</v>
      </c>
      <c r="J107" s="1">
        <f t="shared" si="15"/>
        <v>3.8300000000000125</v>
      </c>
      <c r="K107" s="1">
        <f t="shared" si="16"/>
        <v>95.137200000000306</v>
      </c>
    </row>
    <row r="108" spans="1:11" x14ac:dyDescent="0.25">
      <c r="A108" s="1">
        <v>1003151</v>
      </c>
      <c r="B108" s="1" t="s">
        <v>815</v>
      </c>
      <c r="C108" s="1">
        <v>103</v>
      </c>
      <c r="D108" s="1">
        <v>500</v>
      </c>
      <c r="E108" s="1" t="s">
        <v>857</v>
      </c>
      <c r="F108" s="1">
        <v>5000282362</v>
      </c>
      <c r="G108" s="1">
        <v>114</v>
      </c>
      <c r="H108" s="1">
        <v>178.17</v>
      </c>
      <c r="I108" s="1">
        <v>182</v>
      </c>
      <c r="J108" s="1">
        <f t="shared" si="15"/>
        <v>3.8300000000000125</v>
      </c>
      <c r="K108" s="1">
        <f t="shared" si="16"/>
        <v>1915.0000000000064</v>
      </c>
    </row>
    <row r="109" spans="1:11" x14ac:dyDescent="0.25">
      <c r="A109" s="1">
        <v>1003151</v>
      </c>
      <c r="B109" s="1" t="s">
        <v>815</v>
      </c>
      <c r="C109" s="1">
        <v>103</v>
      </c>
      <c r="D109" s="1">
        <v>500</v>
      </c>
      <c r="E109" s="1" t="s">
        <v>845</v>
      </c>
      <c r="F109" s="1">
        <v>5000282279</v>
      </c>
      <c r="G109" s="1">
        <v>114</v>
      </c>
      <c r="H109" s="1">
        <v>178.17</v>
      </c>
      <c r="I109" s="1">
        <v>182</v>
      </c>
      <c r="J109" s="1">
        <f t="shared" si="15"/>
        <v>3.8300000000000125</v>
      </c>
      <c r="K109" s="1">
        <f t="shared" si="16"/>
        <v>1915.0000000000064</v>
      </c>
    </row>
    <row r="110" spans="1:11" x14ac:dyDescent="0.25">
      <c r="A110" s="1">
        <v>1003151</v>
      </c>
      <c r="B110" s="1" t="s">
        <v>815</v>
      </c>
      <c r="C110" s="1">
        <v>103</v>
      </c>
      <c r="D110" s="1">
        <v>18.89</v>
      </c>
      <c r="E110" s="1" t="s">
        <v>845</v>
      </c>
      <c r="F110" s="1">
        <v>5000282279</v>
      </c>
      <c r="G110" s="1">
        <v>114</v>
      </c>
      <c r="H110" s="1">
        <v>178.17</v>
      </c>
      <c r="I110" s="1">
        <v>182</v>
      </c>
      <c r="J110" s="1">
        <f t="shared" si="15"/>
        <v>3.8300000000000125</v>
      </c>
      <c r="K110" s="1">
        <f t="shared" si="16"/>
        <v>72.348700000000235</v>
      </c>
    </row>
    <row r="111" spans="1:11" x14ac:dyDescent="0.25">
      <c r="A111" s="1">
        <v>1002834</v>
      </c>
      <c r="B111" s="1" t="s">
        <v>860</v>
      </c>
      <c r="C111" s="1">
        <v>103</v>
      </c>
      <c r="D111" s="1">
        <v>598.05999999999995</v>
      </c>
      <c r="E111" s="1" t="s">
        <v>857</v>
      </c>
      <c r="F111" s="1">
        <v>5000282362</v>
      </c>
      <c r="G111" s="1">
        <v>114</v>
      </c>
      <c r="H111" s="1">
        <v>178.17</v>
      </c>
      <c r="I111" s="1">
        <v>182</v>
      </c>
      <c r="J111" s="1">
        <f t="shared" si="15"/>
        <v>3.8300000000000125</v>
      </c>
      <c r="K111" s="1">
        <f t="shared" si="16"/>
        <v>2290.5698000000075</v>
      </c>
    </row>
    <row r="112" spans="1:11" x14ac:dyDescent="0.25">
      <c r="A112" s="1">
        <v>1002946</v>
      </c>
      <c r="B112" s="1" t="s">
        <v>813</v>
      </c>
      <c r="C112" s="1">
        <v>103</v>
      </c>
      <c r="D112" s="1">
        <v>518.53</v>
      </c>
      <c r="E112" s="1" t="s">
        <v>855</v>
      </c>
      <c r="F112" s="1">
        <v>5000284801</v>
      </c>
      <c r="G112" s="1">
        <v>114</v>
      </c>
      <c r="H112" s="1">
        <v>178.17</v>
      </c>
      <c r="I112" s="1">
        <v>182</v>
      </c>
      <c r="J112" s="1">
        <f t="shared" si="15"/>
        <v>3.8300000000000125</v>
      </c>
      <c r="K112" s="1">
        <f t="shared" si="16"/>
        <v>1985.9699000000064</v>
      </c>
    </row>
    <row r="113" spans="1:11" x14ac:dyDescent="0.25">
      <c r="A113" s="1">
        <v>1002867</v>
      </c>
      <c r="B113" s="1" t="s">
        <v>861</v>
      </c>
      <c r="C113" s="1">
        <v>103</v>
      </c>
      <c r="D113" s="1">
        <v>502.63</v>
      </c>
      <c r="E113" s="1" t="s">
        <v>845</v>
      </c>
      <c r="F113" s="1">
        <v>5000282291</v>
      </c>
      <c r="G113" s="1">
        <v>114</v>
      </c>
      <c r="H113" s="1">
        <v>178.17</v>
      </c>
      <c r="I113" s="1">
        <v>182</v>
      </c>
      <c r="J113" s="1">
        <f t="shared" si="15"/>
        <v>3.8300000000000125</v>
      </c>
      <c r="K113" s="1">
        <f t="shared" si="16"/>
        <v>1925.0729000000063</v>
      </c>
    </row>
    <row r="114" spans="1:11" x14ac:dyDescent="0.25">
      <c r="A114" s="1">
        <v>1000628</v>
      </c>
      <c r="B114" s="1" t="s">
        <v>810</v>
      </c>
      <c r="C114" s="1">
        <v>103</v>
      </c>
      <c r="D114" s="1">
        <v>462.75</v>
      </c>
      <c r="E114" s="1" t="s">
        <v>855</v>
      </c>
      <c r="F114" s="1">
        <v>5000284801</v>
      </c>
      <c r="G114" s="1">
        <v>114</v>
      </c>
      <c r="H114" s="1">
        <v>178.17</v>
      </c>
      <c r="I114" s="1">
        <v>182</v>
      </c>
      <c r="J114" s="1">
        <f t="shared" si="15"/>
        <v>3.8300000000000125</v>
      </c>
      <c r="K114" s="1">
        <f t="shared" si="16"/>
        <v>1772.3325000000059</v>
      </c>
    </row>
    <row r="115" spans="1:11" x14ac:dyDescent="0.25">
      <c r="A115" s="1">
        <v>1002842</v>
      </c>
      <c r="B115" s="1" t="s">
        <v>862</v>
      </c>
      <c r="C115" s="1">
        <v>103</v>
      </c>
      <c r="D115" s="1">
        <v>502.13</v>
      </c>
      <c r="E115" s="1" t="s">
        <v>845</v>
      </c>
      <c r="F115" s="1">
        <v>5000282279</v>
      </c>
      <c r="G115" s="1">
        <v>114</v>
      </c>
      <c r="H115" s="1">
        <v>178.17</v>
      </c>
      <c r="I115" s="1">
        <v>182</v>
      </c>
      <c r="J115" s="1">
        <f t="shared" si="15"/>
        <v>3.8300000000000125</v>
      </c>
      <c r="K115" s="1">
        <f t="shared" si="16"/>
        <v>1923.1579000000063</v>
      </c>
    </row>
    <row r="116" spans="1:11" x14ac:dyDescent="0.25">
      <c r="A116" s="1">
        <v>1002843</v>
      </c>
      <c r="B116" s="1" t="s">
        <v>863</v>
      </c>
      <c r="C116" s="1">
        <v>103</v>
      </c>
      <c r="D116" s="1">
        <v>20.04</v>
      </c>
      <c r="E116" s="1" t="s">
        <v>857</v>
      </c>
      <c r="F116" s="1">
        <v>5000282362</v>
      </c>
      <c r="G116" s="1">
        <v>114</v>
      </c>
      <c r="H116" s="1">
        <v>178.17</v>
      </c>
      <c r="I116" s="1">
        <v>182</v>
      </c>
      <c r="J116" s="1">
        <f t="shared" si="15"/>
        <v>3.8300000000000125</v>
      </c>
      <c r="K116" s="1">
        <f t="shared" si="16"/>
        <v>76.753200000000248</v>
      </c>
    </row>
    <row r="117" spans="1:11" x14ac:dyDescent="0.25">
      <c r="A117" s="1">
        <v>1002843</v>
      </c>
      <c r="B117" s="1" t="s">
        <v>863</v>
      </c>
      <c r="C117" s="1">
        <v>103</v>
      </c>
      <c r="D117" s="1">
        <v>500</v>
      </c>
      <c r="E117" s="1" t="s">
        <v>857</v>
      </c>
      <c r="F117" s="1">
        <v>5000282362</v>
      </c>
      <c r="G117" s="1">
        <v>114</v>
      </c>
      <c r="H117" s="1">
        <v>178.17</v>
      </c>
      <c r="I117" s="1">
        <v>182</v>
      </c>
      <c r="J117" s="1">
        <f t="shared" si="15"/>
        <v>3.8300000000000125</v>
      </c>
      <c r="K117" s="1">
        <f t="shared" si="16"/>
        <v>1915.0000000000064</v>
      </c>
    </row>
    <row r="118" spans="1:11" x14ac:dyDescent="0.25">
      <c r="A118" s="1">
        <v>1002839</v>
      </c>
      <c r="B118" s="1" t="s">
        <v>864</v>
      </c>
      <c r="C118" s="1">
        <v>103</v>
      </c>
      <c r="D118" s="1">
        <v>500</v>
      </c>
      <c r="E118" s="1" t="s">
        <v>857</v>
      </c>
      <c r="F118" s="1">
        <v>5000282362</v>
      </c>
      <c r="G118" s="1">
        <v>114</v>
      </c>
      <c r="H118" s="1">
        <v>178.17</v>
      </c>
      <c r="I118" s="1">
        <v>182</v>
      </c>
      <c r="J118" s="1">
        <f t="shared" si="15"/>
        <v>3.8300000000000125</v>
      </c>
      <c r="K118" s="1">
        <f t="shared" si="16"/>
        <v>1915.0000000000064</v>
      </c>
    </row>
    <row r="119" spans="1:11" x14ac:dyDescent="0.25">
      <c r="A119" s="1">
        <v>1002839</v>
      </c>
      <c r="B119" s="1" t="s">
        <v>864</v>
      </c>
      <c r="C119" s="1">
        <v>103</v>
      </c>
      <c r="D119" s="1">
        <v>496.46</v>
      </c>
      <c r="E119" s="1" t="s">
        <v>857</v>
      </c>
      <c r="F119" s="1">
        <v>5000282362</v>
      </c>
      <c r="G119" s="1">
        <v>114</v>
      </c>
      <c r="H119" s="1">
        <v>178.17</v>
      </c>
      <c r="I119" s="1">
        <v>182</v>
      </c>
      <c r="J119" s="1">
        <f t="shared" si="15"/>
        <v>3.8300000000000125</v>
      </c>
      <c r="K119" s="1">
        <f t="shared" si="16"/>
        <v>1901.4418000000062</v>
      </c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>
        <f>SUM(D74:D120)</f>
        <v>22082.960000000006</v>
      </c>
      <c r="E121" s="1"/>
      <c r="F121" s="1"/>
      <c r="G121" s="1"/>
      <c r="H121" s="1"/>
      <c r="I121" s="1"/>
      <c r="J121" s="1" t="s">
        <v>283</v>
      </c>
      <c r="K121" s="1">
        <f>SUM(K74:K119)</f>
        <v>83728.72800000009</v>
      </c>
    </row>
    <row r="124" spans="1:11" x14ac:dyDescent="0.25">
      <c r="A124" s="5" t="s">
        <v>753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5" t="s">
        <v>430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5"/>
      <c r="B126" s="1" t="s">
        <v>169</v>
      </c>
      <c r="C126" s="1"/>
      <c r="D126" s="1" t="s">
        <v>865</v>
      </c>
      <c r="E126" s="1" t="s">
        <v>618</v>
      </c>
      <c r="F126" s="1" t="s">
        <v>22</v>
      </c>
      <c r="G126" s="1"/>
      <c r="H126" s="1" t="s">
        <v>866</v>
      </c>
      <c r="I126" s="1" t="s">
        <v>867</v>
      </c>
      <c r="J126" s="1" t="s">
        <v>52</v>
      </c>
      <c r="K126" s="1" t="s">
        <v>21</v>
      </c>
    </row>
    <row r="127" spans="1:11" x14ac:dyDescent="0.25">
      <c r="A127" s="1">
        <v>1000582</v>
      </c>
      <c r="B127" s="1" t="s">
        <v>755</v>
      </c>
      <c r="C127" s="1">
        <v>103</v>
      </c>
      <c r="D127" s="1" t="s">
        <v>855</v>
      </c>
      <c r="E127" s="1">
        <v>5000284528</v>
      </c>
      <c r="F127" s="1">
        <v>724.8</v>
      </c>
      <c r="G127" s="1">
        <v>114</v>
      </c>
      <c r="H127" s="1">
        <v>163.75</v>
      </c>
      <c r="I127" s="1">
        <v>166.7</v>
      </c>
      <c r="J127" s="1">
        <f>I127-H127</f>
        <v>2.9499999999999886</v>
      </c>
      <c r="K127" s="1">
        <f>J127*F127</f>
        <v>2138.1599999999917</v>
      </c>
    </row>
    <row r="128" spans="1:11" x14ac:dyDescent="0.25">
      <c r="A128" s="1">
        <v>1002827</v>
      </c>
      <c r="B128" s="1" t="s">
        <v>824</v>
      </c>
      <c r="C128" s="1">
        <v>103</v>
      </c>
      <c r="D128" s="1" t="s">
        <v>853</v>
      </c>
      <c r="E128" s="1">
        <v>5000288399</v>
      </c>
      <c r="F128" s="3">
        <v>1959.9</v>
      </c>
      <c r="G128" s="1">
        <v>114</v>
      </c>
      <c r="H128" s="1">
        <v>163.75</v>
      </c>
      <c r="I128" s="1">
        <v>166.7</v>
      </c>
      <c r="J128" s="1">
        <f t="shared" ref="J128:J140" si="17">I128-H128</f>
        <v>2.9499999999999886</v>
      </c>
      <c r="K128" s="1">
        <f t="shared" ref="K128:K140" si="18">J128*F128</f>
        <v>5781.7049999999781</v>
      </c>
    </row>
    <row r="129" spans="1:11" x14ac:dyDescent="0.25">
      <c r="A129" s="1">
        <v>1002827</v>
      </c>
      <c r="B129" s="1" t="s">
        <v>824</v>
      </c>
      <c r="C129" s="1">
        <v>103</v>
      </c>
      <c r="D129" s="1" t="s">
        <v>847</v>
      </c>
      <c r="E129" s="1">
        <v>5000288187</v>
      </c>
      <c r="F129" s="3">
        <v>1678.1</v>
      </c>
      <c r="G129" s="1">
        <v>114</v>
      </c>
      <c r="H129" s="1">
        <v>163.75</v>
      </c>
      <c r="I129" s="1">
        <v>166.7</v>
      </c>
      <c r="J129" s="1">
        <f t="shared" si="17"/>
        <v>2.9499999999999886</v>
      </c>
      <c r="K129" s="1">
        <f t="shared" si="18"/>
        <v>4950.3949999999804</v>
      </c>
    </row>
    <row r="130" spans="1:11" x14ac:dyDescent="0.25">
      <c r="A130" s="1">
        <v>1002827</v>
      </c>
      <c r="B130" s="1" t="s">
        <v>824</v>
      </c>
      <c r="C130" s="1">
        <v>103</v>
      </c>
      <c r="D130" s="1" t="s">
        <v>842</v>
      </c>
      <c r="E130" s="1">
        <v>5000281949</v>
      </c>
      <c r="F130" s="3">
        <v>1804.4</v>
      </c>
      <c r="G130" s="1">
        <v>114</v>
      </c>
      <c r="H130" s="1">
        <v>163.75</v>
      </c>
      <c r="I130" s="1">
        <v>166.7</v>
      </c>
      <c r="J130" s="1">
        <f t="shared" si="17"/>
        <v>2.9499999999999886</v>
      </c>
      <c r="K130" s="1">
        <f t="shared" si="18"/>
        <v>5322.9799999999796</v>
      </c>
    </row>
    <row r="131" spans="1:11" x14ac:dyDescent="0.25">
      <c r="A131" s="1">
        <v>1002949</v>
      </c>
      <c r="B131" s="1" t="s">
        <v>624</v>
      </c>
      <c r="C131" s="1">
        <v>103</v>
      </c>
      <c r="D131" s="1" t="s">
        <v>855</v>
      </c>
      <c r="E131" s="1">
        <v>5000284529</v>
      </c>
      <c r="F131" s="1">
        <v>77.3</v>
      </c>
      <c r="G131" s="1">
        <v>114</v>
      </c>
      <c r="H131" s="1">
        <v>163.75</v>
      </c>
      <c r="I131" s="1">
        <v>166.7</v>
      </c>
      <c r="J131" s="1">
        <f t="shared" si="17"/>
        <v>2.9499999999999886</v>
      </c>
      <c r="K131" s="1">
        <f t="shared" si="18"/>
        <v>228.03499999999912</v>
      </c>
    </row>
    <row r="132" spans="1:11" x14ac:dyDescent="0.25">
      <c r="A132" s="1">
        <v>1002949</v>
      </c>
      <c r="B132" s="1" t="s">
        <v>624</v>
      </c>
      <c r="C132" s="1">
        <v>103</v>
      </c>
      <c r="D132" s="1" t="s">
        <v>842</v>
      </c>
      <c r="E132" s="1">
        <v>5000281951</v>
      </c>
      <c r="F132" s="1">
        <v>866.4</v>
      </c>
      <c r="G132" s="1">
        <v>114</v>
      </c>
      <c r="H132" s="1">
        <v>163.75</v>
      </c>
      <c r="I132" s="1">
        <v>166.7</v>
      </c>
      <c r="J132" s="1">
        <f t="shared" si="17"/>
        <v>2.9499999999999886</v>
      </c>
      <c r="K132" s="1">
        <f t="shared" si="18"/>
        <v>2555.8799999999901</v>
      </c>
    </row>
    <row r="133" spans="1:11" x14ac:dyDescent="0.25">
      <c r="A133" s="1">
        <v>1002949</v>
      </c>
      <c r="B133" s="1" t="s">
        <v>624</v>
      </c>
      <c r="C133" s="1">
        <v>103</v>
      </c>
      <c r="D133" s="1" t="s">
        <v>842</v>
      </c>
      <c r="E133" s="1">
        <v>5000281951</v>
      </c>
      <c r="F133" s="1">
        <v>710</v>
      </c>
      <c r="G133" s="1">
        <v>114</v>
      </c>
      <c r="H133" s="1">
        <v>163.75</v>
      </c>
      <c r="I133" s="1">
        <v>166.7</v>
      </c>
      <c r="J133" s="1">
        <f t="shared" si="17"/>
        <v>2.9499999999999886</v>
      </c>
      <c r="K133" s="1">
        <f t="shared" si="18"/>
        <v>2094.4999999999918</v>
      </c>
    </row>
    <row r="134" spans="1:11" x14ac:dyDescent="0.25">
      <c r="A134" s="1">
        <v>1002820</v>
      </c>
      <c r="B134" s="1" t="s">
        <v>461</v>
      </c>
      <c r="C134" s="1">
        <v>103</v>
      </c>
      <c r="D134" s="1" t="s">
        <v>855</v>
      </c>
      <c r="E134" s="1">
        <v>5000284436</v>
      </c>
      <c r="F134" s="1">
        <v>848.8</v>
      </c>
      <c r="G134" s="1">
        <v>114</v>
      </c>
      <c r="H134" s="1">
        <v>163.75</v>
      </c>
      <c r="I134" s="1">
        <v>166.7</v>
      </c>
      <c r="J134" s="1">
        <f t="shared" si="17"/>
        <v>2.9499999999999886</v>
      </c>
      <c r="K134" s="1">
        <f t="shared" si="18"/>
        <v>2503.95999999999</v>
      </c>
    </row>
    <row r="135" spans="1:11" x14ac:dyDescent="0.25">
      <c r="A135" s="1">
        <v>1002813</v>
      </c>
      <c r="B135" s="1" t="s">
        <v>530</v>
      </c>
      <c r="C135" s="1">
        <v>103</v>
      </c>
      <c r="D135" s="1" t="s">
        <v>868</v>
      </c>
      <c r="E135" s="1">
        <v>5000287085</v>
      </c>
      <c r="F135" s="3">
        <v>1797.7</v>
      </c>
      <c r="G135" s="1">
        <v>114</v>
      </c>
      <c r="H135" s="1">
        <v>163.75</v>
      </c>
      <c r="I135" s="1">
        <v>166.7</v>
      </c>
      <c r="J135" s="1">
        <f t="shared" si="17"/>
        <v>2.9499999999999886</v>
      </c>
      <c r="K135" s="1">
        <f t="shared" si="18"/>
        <v>5303.2149999999801</v>
      </c>
    </row>
    <row r="136" spans="1:11" x14ac:dyDescent="0.25">
      <c r="A136" s="1">
        <v>1002813</v>
      </c>
      <c r="B136" s="1" t="s">
        <v>530</v>
      </c>
      <c r="C136" s="1">
        <v>103</v>
      </c>
      <c r="D136" s="1" t="s">
        <v>842</v>
      </c>
      <c r="E136" s="1">
        <v>5000281949</v>
      </c>
      <c r="F136" s="1">
        <v>508.7</v>
      </c>
      <c r="G136" s="1">
        <v>114</v>
      </c>
      <c r="H136" s="1">
        <v>163.75</v>
      </c>
      <c r="I136" s="1">
        <v>166.7</v>
      </c>
      <c r="J136" s="1">
        <f t="shared" si="17"/>
        <v>2.9499999999999886</v>
      </c>
      <c r="K136" s="1">
        <f t="shared" si="18"/>
        <v>1500.6649999999943</v>
      </c>
    </row>
    <row r="137" spans="1:11" x14ac:dyDescent="0.25">
      <c r="A137" s="1">
        <v>1000609</v>
      </c>
      <c r="B137" s="1" t="s">
        <v>757</v>
      </c>
      <c r="C137" s="1">
        <v>103</v>
      </c>
      <c r="D137" s="1" t="s">
        <v>842</v>
      </c>
      <c r="E137" s="1">
        <v>5000281950</v>
      </c>
      <c r="F137" s="2">
        <v>1313</v>
      </c>
      <c r="G137" s="1">
        <v>114</v>
      </c>
      <c r="H137" s="1">
        <v>163.75</v>
      </c>
      <c r="I137" s="1">
        <v>166.7</v>
      </c>
      <c r="J137" s="1">
        <f t="shared" si="17"/>
        <v>2.9499999999999886</v>
      </c>
      <c r="K137" s="1">
        <f t="shared" si="18"/>
        <v>3873.3499999999849</v>
      </c>
    </row>
    <row r="138" spans="1:11" x14ac:dyDescent="0.25">
      <c r="A138" s="1">
        <v>1002817</v>
      </c>
      <c r="B138" s="1" t="s">
        <v>821</v>
      </c>
      <c r="C138" s="1">
        <v>103</v>
      </c>
      <c r="D138" s="1" t="s">
        <v>868</v>
      </c>
      <c r="E138" s="1">
        <v>5000287079</v>
      </c>
      <c r="F138" s="3">
        <v>3614.7</v>
      </c>
      <c r="G138" s="1">
        <v>114</v>
      </c>
      <c r="H138" s="1">
        <v>163.75</v>
      </c>
      <c r="I138" s="1">
        <v>166.7</v>
      </c>
      <c r="J138" s="1">
        <f t="shared" si="17"/>
        <v>2.9499999999999886</v>
      </c>
      <c r="K138" s="1">
        <f t="shared" si="18"/>
        <v>10663.364999999958</v>
      </c>
    </row>
    <row r="139" spans="1:11" x14ac:dyDescent="0.25">
      <c r="A139" s="1">
        <v>1002817</v>
      </c>
      <c r="B139" s="1" t="s">
        <v>821</v>
      </c>
      <c r="C139" s="1">
        <v>103</v>
      </c>
      <c r="D139" s="1" t="s">
        <v>869</v>
      </c>
      <c r="E139" s="1">
        <v>5000286468</v>
      </c>
      <c r="F139" s="1">
        <v>958.9</v>
      </c>
      <c r="G139" s="1">
        <v>114</v>
      </c>
      <c r="H139" s="1">
        <v>163.75</v>
      </c>
      <c r="I139" s="1">
        <v>166.7</v>
      </c>
      <c r="J139" s="1">
        <f t="shared" si="17"/>
        <v>2.9499999999999886</v>
      </c>
      <c r="K139" s="1">
        <f t="shared" si="18"/>
        <v>2828.7549999999892</v>
      </c>
    </row>
    <row r="140" spans="1:11" x14ac:dyDescent="0.25">
      <c r="A140" s="1">
        <v>1002817</v>
      </c>
      <c r="B140" s="1" t="s">
        <v>821</v>
      </c>
      <c r="C140" s="1">
        <v>103</v>
      </c>
      <c r="D140" s="1" t="s">
        <v>855</v>
      </c>
      <c r="E140" s="1">
        <v>5000284437</v>
      </c>
      <c r="F140" s="1">
        <v>419.6</v>
      </c>
      <c r="G140" s="1">
        <v>114</v>
      </c>
      <c r="H140" s="1">
        <v>163.75</v>
      </c>
      <c r="I140" s="1">
        <v>166.7</v>
      </c>
      <c r="J140" s="1">
        <f t="shared" si="17"/>
        <v>2.9499999999999886</v>
      </c>
      <c r="K140" s="1">
        <f t="shared" si="18"/>
        <v>1237.8199999999954</v>
      </c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>
        <f>SUM(F127:F141)</f>
        <v>17282.3</v>
      </c>
      <c r="G142" s="1"/>
      <c r="H142" s="1"/>
      <c r="I142" s="1"/>
      <c r="J142" s="1" t="s">
        <v>283</v>
      </c>
      <c r="K142" s="1">
        <f>SUM(K127:K140)</f>
        <v>50982.7849999998</v>
      </c>
    </row>
    <row r="145" spans="1:11" x14ac:dyDescent="0.25">
      <c r="A145" s="5" t="s">
        <v>825</v>
      </c>
      <c r="B145" s="1"/>
      <c r="C145" s="1"/>
      <c r="D145" s="1"/>
      <c r="E145" s="1"/>
      <c r="F145" s="1"/>
      <c r="G145" s="1"/>
      <c r="H145" s="1" t="s">
        <v>870</v>
      </c>
      <c r="I145" s="1" t="s">
        <v>763</v>
      </c>
      <c r="J145" s="1"/>
      <c r="K145" s="1"/>
    </row>
    <row r="146" spans="1:11" x14ac:dyDescent="0.25">
      <c r="A146" s="5" t="s">
        <v>430</v>
      </c>
      <c r="B146" s="1" t="s">
        <v>169</v>
      </c>
      <c r="C146" s="1"/>
      <c r="D146" s="1" t="s">
        <v>390</v>
      </c>
      <c r="E146" s="1" t="s">
        <v>618</v>
      </c>
      <c r="F146" s="1" t="s">
        <v>22</v>
      </c>
      <c r="G146" s="1"/>
      <c r="H146" s="1" t="s">
        <v>871</v>
      </c>
      <c r="I146" s="1" t="s">
        <v>872</v>
      </c>
      <c r="J146" s="1" t="s">
        <v>52</v>
      </c>
      <c r="K146" s="1" t="s">
        <v>21</v>
      </c>
    </row>
    <row r="147" spans="1:11" x14ac:dyDescent="0.25">
      <c r="A147" s="1">
        <v>1000582</v>
      </c>
      <c r="B147" s="1" t="s">
        <v>755</v>
      </c>
      <c r="C147" s="1">
        <v>103</v>
      </c>
      <c r="D147" s="1" t="s">
        <v>855</v>
      </c>
      <c r="E147" s="1">
        <v>5000284528</v>
      </c>
      <c r="F147" s="1">
        <v>724.8</v>
      </c>
      <c r="G147" s="1">
        <v>114</v>
      </c>
      <c r="H147" s="1">
        <v>163.75</v>
      </c>
      <c r="I147" s="3">
        <v>159.05000000000001</v>
      </c>
      <c r="J147" s="3">
        <f>H147-I147</f>
        <v>4.6999999999999886</v>
      </c>
      <c r="K147" s="1">
        <f>J147*F147</f>
        <v>3406.5599999999918</v>
      </c>
    </row>
    <row r="148" spans="1:11" x14ac:dyDescent="0.25">
      <c r="A148" s="1">
        <v>1002827</v>
      </c>
      <c r="B148" s="1" t="s">
        <v>824</v>
      </c>
      <c r="C148" s="1">
        <v>103</v>
      </c>
      <c r="D148" s="1" t="s">
        <v>853</v>
      </c>
      <c r="E148" s="1">
        <v>5000288399</v>
      </c>
      <c r="F148" s="3">
        <v>1959.9</v>
      </c>
      <c r="G148" s="1">
        <v>114</v>
      </c>
      <c r="H148" s="1">
        <v>163.75</v>
      </c>
      <c r="I148" s="3">
        <v>159.05000000000001</v>
      </c>
      <c r="J148" s="3">
        <f t="shared" ref="J148:J160" si="19">H148-I148</f>
        <v>4.6999999999999886</v>
      </c>
      <c r="K148" s="1">
        <f t="shared" ref="K148:K160" si="20">J148*F148</f>
        <v>9211.5299999999788</v>
      </c>
    </row>
    <row r="149" spans="1:11" x14ac:dyDescent="0.25">
      <c r="A149" s="1">
        <v>1002827</v>
      </c>
      <c r="B149" s="1" t="s">
        <v>824</v>
      </c>
      <c r="C149" s="1">
        <v>103</v>
      </c>
      <c r="D149" s="1" t="s">
        <v>847</v>
      </c>
      <c r="E149" s="1">
        <v>5000288187</v>
      </c>
      <c r="F149" s="3">
        <v>1678.1</v>
      </c>
      <c r="G149" s="1">
        <v>114</v>
      </c>
      <c r="H149" s="1">
        <v>163.75</v>
      </c>
      <c r="I149" s="3">
        <v>159.05000000000001</v>
      </c>
      <c r="J149" s="3">
        <f t="shared" si="19"/>
        <v>4.6999999999999886</v>
      </c>
      <c r="K149" s="1">
        <f t="shared" si="20"/>
        <v>7887.0699999999806</v>
      </c>
    </row>
    <row r="150" spans="1:11" x14ac:dyDescent="0.25">
      <c r="A150" s="1">
        <v>1002827</v>
      </c>
      <c r="B150" s="1" t="s">
        <v>824</v>
      </c>
      <c r="C150" s="1">
        <v>103</v>
      </c>
      <c r="D150" s="1" t="s">
        <v>842</v>
      </c>
      <c r="E150" s="1">
        <v>5000281949</v>
      </c>
      <c r="F150" s="3">
        <v>1804.4</v>
      </c>
      <c r="G150" s="1">
        <v>114</v>
      </c>
      <c r="H150" s="1">
        <v>163.75</v>
      </c>
      <c r="I150" s="3">
        <v>159.05000000000001</v>
      </c>
      <c r="J150" s="3">
        <f t="shared" si="19"/>
        <v>4.6999999999999886</v>
      </c>
      <c r="K150" s="1">
        <f t="shared" si="20"/>
        <v>8480.6799999999803</v>
      </c>
    </row>
    <row r="151" spans="1:11" x14ac:dyDescent="0.25">
      <c r="A151" s="1">
        <v>1002949</v>
      </c>
      <c r="B151" s="1" t="s">
        <v>624</v>
      </c>
      <c r="C151" s="1">
        <v>103</v>
      </c>
      <c r="D151" s="1" t="s">
        <v>855</v>
      </c>
      <c r="E151" s="1">
        <v>5000284529</v>
      </c>
      <c r="F151" s="1">
        <v>77.3</v>
      </c>
      <c r="G151" s="1">
        <v>114</v>
      </c>
      <c r="H151" s="1">
        <v>163.75</v>
      </c>
      <c r="I151" s="3">
        <v>159.05000000000001</v>
      </c>
      <c r="J151" s="3">
        <f t="shared" si="19"/>
        <v>4.6999999999999886</v>
      </c>
      <c r="K151" s="1">
        <f t="shared" si="20"/>
        <v>363.30999999999909</v>
      </c>
    </row>
    <row r="152" spans="1:11" x14ac:dyDescent="0.25">
      <c r="A152" s="1">
        <v>1002949</v>
      </c>
      <c r="B152" s="1" t="s">
        <v>624</v>
      </c>
      <c r="C152" s="1">
        <v>103</v>
      </c>
      <c r="D152" s="1" t="s">
        <v>842</v>
      </c>
      <c r="E152" s="1">
        <v>5000281951</v>
      </c>
      <c r="F152" s="1">
        <v>866.4</v>
      </c>
      <c r="G152" s="1">
        <v>114</v>
      </c>
      <c r="H152" s="1">
        <v>163.75</v>
      </c>
      <c r="I152" s="3">
        <v>159.05000000000001</v>
      </c>
      <c r="J152" s="3">
        <f t="shared" si="19"/>
        <v>4.6999999999999886</v>
      </c>
      <c r="K152" s="1">
        <f t="shared" si="20"/>
        <v>4072.0799999999899</v>
      </c>
    </row>
    <row r="153" spans="1:11" x14ac:dyDescent="0.25">
      <c r="A153" s="1">
        <v>1002949</v>
      </c>
      <c r="B153" s="1" t="s">
        <v>624</v>
      </c>
      <c r="C153" s="1">
        <v>103</v>
      </c>
      <c r="D153" s="1" t="s">
        <v>842</v>
      </c>
      <c r="E153" s="1">
        <v>5000281951</v>
      </c>
      <c r="F153" s="1">
        <v>710</v>
      </c>
      <c r="G153" s="1">
        <v>114</v>
      </c>
      <c r="H153" s="1">
        <v>163.75</v>
      </c>
      <c r="I153" s="3">
        <v>159.05000000000001</v>
      </c>
      <c r="J153" s="3">
        <f t="shared" si="19"/>
        <v>4.6999999999999886</v>
      </c>
      <c r="K153" s="1">
        <f t="shared" si="20"/>
        <v>3336.9999999999918</v>
      </c>
    </row>
    <row r="154" spans="1:11" x14ac:dyDescent="0.25">
      <c r="A154" s="1">
        <v>1002820</v>
      </c>
      <c r="B154" s="1" t="s">
        <v>461</v>
      </c>
      <c r="C154" s="1">
        <v>103</v>
      </c>
      <c r="D154" s="1" t="s">
        <v>855</v>
      </c>
      <c r="E154" s="1">
        <v>5000284436</v>
      </c>
      <c r="F154" s="1">
        <v>848.8</v>
      </c>
      <c r="G154" s="1">
        <v>114</v>
      </c>
      <c r="H154" s="1">
        <v>163.75</v>
      </c>
      <c r="I154" s="3">
        <v>159.05000000000001</v>
      </c>
      <c r="J154" s="3">
        <f t="shared" si="19"/>
        <v>4.6999999999999886</v>
      </c>
      <c r="K154" s="1">
        <f t="shared" si="20"/>
        <v>3989.3599999999901</v>
      </c>
    </row>
    <row r="155" spans="1:11" x14ac:dyDescent="0.25">
      <c r="A155" s="1">
        <v>1002813</v>
      </c>
      <c r="B155" s="1" t="s">
        <v>530</v>
      </c>
      <c r="C155" s="1">
        <v>103</v>
      </c>
      <c r="D155" s="1" t="s">
        <v>868</v>
      </c>
      <c r="E155" s="1">
        <v>5000287085</v>
      </c>
      <c r="F155" s="3">
        <v>1797.7</v>
      </c>
      <c r="G155" s="1">
        <v>114</v>
      </c>
      <c r="H155" s="1">
        <v>163.75</v>
      </c>
      <c r="I155" s="3">
        <v>159.05000000000001</v>
      </c>
      <c r="J155" s="3">
        <f t="shared" si="19"/>
        <v>4.6999999999999886</v>
      </c>
      <c r="K155" s="1">
        <f t="shared" si="20"/>
        <v>8449.1899999999805</v>
      </c>
    </row>
    <row r="156" spans="1:11" x14ac:dyDescent="0.25">
      <c r="A156" s="1">
        <v>1002813</v>
      </c>
      <c r="B156" s="1" t="s">
        <v>530</v>
      </c>
      <c r="C156" s="1">
        <v>103</v>
      </c>
      <c r="D156" s="1" t="s">
        <v>842</v>
      </c>
      <c r="E156" s="1">
        <v>5000281949</v>
      </c>
      <c r="F156" s="1">
        <v>508.7</v>
      </c>
      <c r="G156" s="1">
        <v>114</v>
      </c>
      <c r="H156" s="1">
        <v>163.75</v>
      </c>
      <c r="I156" s="3">
        <v>159.05000000000001</v>
      </c>
      <c r="J156" s="3">
        <f t="shared" si="19"/>
        <v>4.6999999999999886</v>
      </c>
      <c r="K156" s="1">
        <f t="shared" si="20"/>
        <v>2390.889999999994</v>
      </c>
    </row>
    <row r="157" spans="1:11" x14ac:dyDescent="0.25">
      <c r="A157" s="1">
        <v>1000609</v>
      </c>
      <c r="B157" s="1" t="s">
        <v>757</v>
      </c>
      <c r="C157" s="1">
        <v>103</v>
      </c>
      <c r="D157" s="1" t="s">
        <v>842</v>
      </c>
      <c r="E157" s="1">
        <v>5000281950</v>
      </c>
      <c r="F157" s="2">
        <v>1313</v>
      </c>
      <c r="G157" s="1">
        <v>114</v>
      </c>
      <c r="H157" s="1">
        <v>163.75</v>
      </c>
      <c r="I157" s="3">
        <v>159.05000000000001</v>
      </c>
      <c r="J157" s="3">
        <f t="shared" si="19"/>
        <v>4.6999999999999886</v>
      </c>
      <c r="K157" s="1">
        <f t="shared" si="20"/>
        <v>6171.0999999999849</v>
      </c>
    </row>
    <row r="158" spans="1:11" x14ac:dyDescent="0.25">
      <c r="A158" s="1">
        <v>1002817</v>
      </c>
      <c r="B158" s="1" t="s">
        <v>821</v>
      </c>
      <c r="C158" s="1">
        <v>103</v>
      </c>
      <c r="D158" s="1" t="s">
        <v>868</v>
      </c>
      <c r="E158" s="1">
        <v>5000287079</v>
      </c>
      <c r="F158" s="3">
        <v>3614.7</v>
      </c>
      <c r="G158" s="1">
        <v>114</v>
      </c>
      <c r="H158" s="1">
        <v>163.75</v>
      </c>
      <c r="I158" s="3">
        <v>159.05000000000001</v>
      </c>
      <c r="J158" s="3">
        <f t="shared" si="19"/>
        <v>4.6999999999999886</v>
      </c>
      <c r="K158" s="1">
        <f t="shared" si="20"/>
        <v>16989.089999999956</v>
      </c>
    </row>
    <row r="159" spans="1:11" x14ac:dyDescent="0.25">
      <c r="A159" s="1">
        <v>1002817</v>
      </c>
      <c r="B159" s="1" t="s">
        <v>821</v>
      </c>
      <c r="C159" s="1">
        <v>103</v>
      </c>
      <c r="D159" s="1" t="s">
        <v>869</v>
      </c>
      <c r="E159" s="1">
        <v>5000286468</v>
      </c>
      <c r="F159" s="1">
        <v>958.9</v>
      </c>
      <c r="G159" s="1">
        <v>114</v>
      </c>
      <c r="H159" s="1">
        <v>163.75</v>
      </c>
      <c r="I159" s="3">
        <v>159.05000000000001</v>
      </c>
      <c r="J159" s="3">
        <f t="shared" si="19"/>
        <v>4.6999999999999886</v>
      </c>
      <c r="K159" s="1">
        <f t="shared" si="20"/>
        <v>4506.829999999989</v>
      </c>
    </row>
    <row r="160" spans="1:11" x14ac:dyDescent="0.25">
      <c r="A160" s="1">
        <v>1002817</v>
      </c>
      <c r="B160" s="1" t="s">
        <v>821</v>
      </c>
      <c r="C160" s="1">
        <v>103</v>
      </c>
      <c r="D160" s="1" t="s">
        <v>855</v>
      </c>
      <c r="E160" s="1">
        <v>5000284437</v>
      </c>
      <c r="F160" s="1">
        <v>419.6</v>
      </c>
      <c r="G160" s="1">
        <v>114</v>
      </c>
      <c r="H160" s="1">
        <v>163.75</v>
      </c>
      <c r="I160" s="3">
        <v>159.05000000000001</v>
      </c>
      <c r="J160" s="3">
        <f t="shared" si="19"/>
        <v>4.6999999999999886</v>
      </c>
      <c r="K160" s="1">
        <f t="shared" si="20"/>
        <v>1972.1199999999953</v>
      </c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>
        <f>SUM(F147:F161)</f>
        <v>17282.3</v>
      </c>
      <c r="G162" s="1"/>
      <c r="H162" s="1"/>
      <c r="I162" s="1"/>
      <c r="J162" s="1" t="s">
        <v>58</v>
      </c>
      <c r="K162" s="1">
        <f>SUM(K147:K160)</f>
        <v>81226.809999999794</v>
      </c>
    </row>
    <row r="166" spans="1:11" x14ac:dyDescent="0.25">
      <c r="A166" s="5" t="s">
        <v>782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5" t="s">
        <v>784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5"/>
      <c r="B168" s="1" t="s">
        <v>169</v>
      </c>
      <c r="C168" s="1"/>
      <c r="D168" s="1" t="s">
        <v>390</v>
      </c>
      <c r="E168" s="1" t="s">
        <v>618</v>
      </c>
      <c r="F168" s="1" t="s">
        <v>22</v>
      </c>
      <c r="G168" s="1"/>
      <c r="H168" s="1" t="s">
        <v>763</v>
      </c>
      <c r="I168" s="1" t="s">
        <v>764</v>
      </c>
      <c r="J168" s="1" t="s">
        <v>52</v>
      </c>
      <c r="K168" s="1" t="s">
        <v>21</v>
      </c>
    </row>
    <row r="169" spans="1:11" x14ac:dyDescent="0.25">
      <c r="A169" s="1">
        <v>1001375</v>
      </c>
      <c r="B169" s="1" t="s">
        <v>224</v>
      </c>
      <c r="C169" s="1">
        <v>103</v>
      </c>
      <c r="D169" s="1" t="s">
        <v>873</v>
      </c>
      <c r="E169" s="1">
        <v>5000286280</v>
      </c>
      <c r="F169" s="1">
        <v>200</v>
      </c>
      <c r="G169" s="1">
        <v>114</v>
      </c>
      <c r="H169" s="1">
        <v>72.5</v>
      </c>
      <c r="I169" s="4">
        <v>76.3</v>
      </c>
      <c r="J169" s="1">
        <f t="shared" ref="J169:J207" si="21">I169-H169</f>
        <v>3.7999999999999972</v>
      </c>
      <c r="K169" s="1">
        <f t="shared" ref="K169:K207" si="22">J169*F169</f>
        <v>759.99999999999943</v>
      </c>
    </row>
    <row r="170" spans="1:11" x14ac:dyDescent="0.25">
      <c r="A170" s="1">
        <v>1001375</v>
      </c>
      <c r="B170" s="1" t="s">
        <v>224</v>
      </c>
      <c r="C170" s="1">
        <v>103</v>
      </c>
      <c r="D170" s="1" t="s">
        <v>873</v>
      </c>
      <c r="E170" s="1">
        <v>5000286280</v>
      </c>
      <c r="F170" s="1">
        <v>697</v>
      </c>
      <c r="G170" s="1">
        <v>114</v>
      </c>
      <c r="H170" s="1">
        <v>72.5</v>
      </c>
      <c r="I170" s="4">
        <v>76.3</v>
      </c>
      <c r="J170" s="1">
        <f t="shared" si="21"/>
        <v>3.7999999999999972</v>
      </c>
      <c r="K170" s="1">
        <f t="shared" si="22"/>
        <v>2648.5999999999981</v>
      </c>
    </row>
    <row r="171" spans="1:11" x14ac:dyDescent="0.25">
      <c r="A171" s="1">
        <v>1001375</v>
      </c>
      <c r="B171" s="1" t="s">
        <v>224</v>
      </c>
      <c r="C171" s="1">
        <v>103</v>
      </c>
      <c r="D171" s="1" t="s">
        <v>873</v>
      </c>
      <c r="E171" s="1">
        <v>5000286280</v>
      </c>
      <c r="F171" s="2">
        <v>1070</v>
      </c>
      <c r="G171" s="1">
        <v>114</v>
      </c>
      <c r="H171" s="1">
        <v>72.5</v>
      </c>
      <c r="I171" s="4">
        <v>76.3</v>
      </c>
      <c r="J171" s="1">
        <f t="shared" si="21"/>
        <v>3.7999999999999972</v>
      </c>
      <c r="K171" s="1">
        <f t="shared" si="22"/>
        <v>4065.9999999999968</v>
      </c>
    </row>
    <row r="172" spans="1:11" x14ac:dyDescent="0.25">
      <c r="A172" s="1">
        <v>1000719</v>
      </c>
      <c r="B172" s="1" t="s">
        <v>484</v>
      </c>
      <c r="C172" s="1">
        <v>103</v>
      </c>
      <c r="D172" s="1" t="s">
        <v>874</v>
      </c>
      <c r="E172" s="1">
        <v>5000287492</v>
      </c>
      <c r="F172" s="1">
        <v>300</v>
      </c>
      <c r="G172" s="1">
        <v>114</v>
      </c>
      <c r="H172" s="1">
        <v>72.5</v>
      </c>
      <c r="I172" s="4">
        <v>76.3</v>
      </c>
      <c r="J172" s="1">
        <f t="shared" si="21"/>
        <v>3.7999999999999972</v>
      </c>
      <c r="K172" s="1">
        <f t="shared" si="22"/>
        <v>1139.9999999999991</v>
      </c>
    </row>
    <row r="173" spans="1:11" x14ac:dyDescent="0.25">
      <c r="A173" s="1">
        <v>1000719</v>
      </c>
      <c r="B173" s="1" t="s">
        <v>484</v>
      </c>
      <c r="C173" s="1">
        <v>103</v>
      </c>
      <c r="D173" s="1" t="s">
        <v>874</v>
      </c>
      <c r="E173" s="1">
        <v>5000287492</v>
      </c>
      <c r="F173" s="1">
        <v>229</v>
      </c>
      <c r="G173" s="1">
        <v>114</v>
      </c>
      <c r="H173" s="1">
        <v>72.5</v>
      </c>
      <c r="I173" s="4">
        <v>76.3</v>
      </c>
      <c r="J173" s="1">
        <f t="shared" si="21"/>
        <v>3.7999999999999972</v>
      </c>
      <c r="K173" s="1">
        <f t="shared" si="22"/>
        <v>870.19999999999936</v>
      </c>
    </row>
    <row r="174" spans="1:11" x14ac:dyDescent="0.25">
      <c r="A174" s="1">
        <v>1000719</v>
      </c>
      <c r="B174" s="1" t="s">
        <v>484</v>
      </c>
      <c r="C174" s="1">
        <v>103</v>
      </c>
      <c r="D174" s="1" t="s">
        <v>874</v>
      </c>
      <c r="E174" s="1">
        <v>5000287492</v>
      </c>
      <c r="F174" s="1">
        <v>272</v>
      </c>
      <c r="G174" s="1">
        <v>114</v>
      </c>
      <c r="H174" s="1">
        <v>72.5</v>
      </c>
      <c r="I174" s="4">
        <v>76.3</v>
      </c>
      <c r="J174" s="1">
        <f t="shared" si="21"/>
        <v>3.7999999999999972</v>
      </c>
      <c r="K174" s="1">
        <f t="shared" si="22"/>
        <v>1033.5999999999992</v>
      </c>
    </row>
    <row r="175" spans="1:11" x14ac:dyDescent="0.25">
      <c r="A175" s="1">
        <v>1000719</v>
      </c>
      <c r="B175" s="1" t="s">
        <v>484</v>
      </c>
      <c r="C175" s="1">
        <v>103</v>
      </c>
      <c r="D175" s="1" t="s">
        <v>841</v>
      </c>
      <c r="E175" s="1">
        <v>5000286821</v>
      </c>
      <c r="F175" s="1">
        <v>656</v>
      </c>
      <c r="G175" s="1">
        <v>114</v>
      </c>
      <c r="H175" s="1">
        <v>72.5</v>
      </c>
      <c r="I175" s="4">
        <v>76.3</v>
      </c>
      <c r="J175" s="1">
        <f t="shared" si="21"/>
        <v>3.7999999999999972</v>
      </c>
      <c r="K175" s="1">
        <f t="shared" si="22"/>
        <v>2492.7999999999984</v>
      </c>
    </row>
    <row r="176" spans="1:11" x14ac:dyDescent="0.25">
      <c r="A176" s="1">
        <v>1000719</v>
      </c>
      <c r="B176" s="1" t="s">
        <v>484</v>
      </c>
      <c r="C176" s="1">
        <v>103</v>
      </c>
      <c r="D176" s="1" t="s">
        <v>841</v>
      </c>
      <c r="E176" s="1">
        <v>5000286821</v>
      </c>
      <c r="F176" s="1">
        <v>168</v>
      </c>
      <c r="G176" s="1">
        <v>114</v>
      </c>
      <c r="H176" s="1">
        <v>72.5</v>
      </c>
      <c r="I176" s="4">
        <v>76.3</v>
      </c>
      <c r="J176" s="1">
        <f t="shared" si="21"/>
        <v>3.7999999999999972</v>
      </c>
      <c r="K176" s="1">
        <f t="shared" si="22"/>
        <v>638.39999999999952</v>
      </c>
    </row>
    <row r="177" spans="1:11" x14ac:dyDescent="0.25">
      <c r="A177" s="1">
        <v>1000719</v>
      </c>
      <c r="B177" s="1" t="s">
        <v>484</v>
      </c>
      <c r="C177" s="1">
        <v>103</v>
      </c>
      <c r="D177" s="1" t="s">
        <v>844</v>
      </c>
      <c r="E177" s="1">
        <v>5000283841</v>
      </c>
      <c r="F177" s="1">
        <v>291</v>
      </c>
      <c r="G177" s="1">
        <v>114</v>
      </c>
      <c r="H177" s="1">
        <v>72.5</v>
      </c>
      <c r="I177" s="4">
        <v>76.3</v>
      </c>
      <c r="J177" s="1">
        <f t="shared" si="21"/>
        <v>3.7999999999999972</v>
      </c>
      <c r="K177" s="1">
        <f t="shared" si="22"/>
        <v>1105.7999999999993</v>
      </c>
    </row>
    <row r="178" spans="1:11" x14ac:dyDescent="0.25">
      <c r="A178" s="1">
        <v>1000719</v>
      </c>
      <c r="B178" s="1" t="s">
        <v>484</v>
      </c>
      <c r="C178" s="1">
        <v>103</v>
      </c>
      <c r="D178" s="1" t="s">
        <v>844</v>
      </c>
      <c r="E178" s="1">
        <v>5000283841</v>
      </c>
      <c r="F178" s="1">
        <v>168</v>
      </c>
      <c r="G178" s="1">
        <v>114</v>
      </c>
      <c r="H178" s="1">
        <v>72.5</v>
      </c>
      <c r="I178" s="4">
        <v>76.3</v>
      </c>
      <c r="J178" s="1">
        <f t="shared" si="21"/>
        <v>3.7999999999999972</v>
      </c>
      <c r="K178" s="1">
        <f t="shared" si="22"/>
        <v>638.39999999999952</v>
      </c>
    </row>
    <row r="179" spans="1:11" x14ac:dyDescent="0.25">
      <c r="A179" s="1">
        <v>1000719</v>
      </c>
      <c r="B179" s="1" t="s">
        <v>484</v>
      </c>
      <c r="C179" s="1">
        <v>103</v>
      </c>
      <c r="D179" s="1" t="s">
        <v>844</v>
      </c>
      <c r="E179" s="1">
        <v>5000283841</v>
      </c>
      <c r="F179" s="1">
        <v>711</v>
      </c>
      <c r="G179" s="1">
        <v>114</v>
      </c>
      <c r="H179" s="1">
        <v>72.5</v>
      </c>
      <c r="I179" s="4">
        <v>76.3</v>
      </c>
      <c r="J179" s="1">
        <f t="shared" si="21"/>
        <v>3.7999999999999972</v>
      </c>
      <c r="K179" s="1">
        <f t="shared" si="22"/>
        <v>2701.7999999999979</v>
      </c>
    </row>
    <row r="180" spans="1:11" x14ac:dyDescent="0.25">
      <c r="A180" s="1">
        <v>1000719</v>
      </c>
      <c r="B180" s="1" t="s">
        <v>484</v>
      </c>
      <c r="C180" s="1">
        <v>103</v>
      </c>
      <c r="D180" s="1" t="s">
        <v>875</v>
      </c>
      <c r="E180" s="1">
        <v>5000283626</v>
      </c>
      <c r="F180" s="2">
        <v>1238</v>
      </c>
      <c r="G180" s="1">
        <v>114</v>
      </c>
      <c r="H180" s="1">
        <v>72.5</v>
      </c>
      <c r="I180" s="4">
        <v>76.3</v>
      </c>
      <c r="J180" s="1">
        <f t="shared" si="21"/>
        <v>3.7999999999999972</v>
      </c>
      <c r="K180" s="1">
        <f t="shared" si="22"/>
        <v>4704.3999999999969</v>
      </c>
    </row>
    <row r="181" spans="1:11" x14ac:dyDescent="0.25">
      <c r="A181" s="1">
        <v>1000719</v>
      </c>
      <c r="B181" s="1" t="s">
        <v>484</v>
      </c>
      <c r="C181" s="1">
        <v>103</v>
      </c>
      <c r="D181" s="1" t="s">
        <v>848</v>
      </c>
      <c r="E181" s="1">
        <v>5000282917</v>
      </c>
      <c r="F181" s="1">
        <v>646</v>
      </c>
      <c r="G181" s="1">
        <v>114</v>
      </c>
      <c r="H181" s="1">
        <v>72.5</v>
      </c>
      <c r="I181" s="4">
        <v>76.3</v>
      </c>
      <c r="J181" s="1">
        <f t="shared" si="21"/>
        <v>3.7999999999999972</v>
      </c>
      <c r="K181" s="1">
        <f t="shared" si="22"/>
        <v>2454.7999999999984</v>
      </c>
    </row>
    <row r="182" spans="1:11" x14ac:dyDescent="0.25">
      <c r="A182" s="1">
        <v>1001401</v>
      </c>
      <c r="B182" s="1" t="s">
        <v>89</v>
      </c>
      <c r="C182" s="1">
        <v>103</v>
      </c>
      <c r="D182" s="1" t="s">
        <v>853</v>
      </c>
      <c r="E182" s="1">
        <v>5000288498</v>
      </c>
      <c r="F182" s="2">
        <v>3204</v>
      </c>
      <c r="G182" s="1">
        <v>114</v>
      </c>
      <c r="H182" s="1">
        <v>72.5</v>
      </c>
      <c r="I182" s="4">
        <v>76.3</v>
      </c>
      <c r="J182" s="1">
        <f t="shared" si="21"/>
        <v>3.7999999999999972</v>
      </c>
      <c r="K182" s="1">
        <f t="shared" si="22"/>
        <v>12175.199999999992</v>
      </c>
    </row>
    <row r="183" spans="1:11" x14ac:dyDescent="0.25">
      <c r="A183" s="1">
        <v>1001401</v>
      </c>
      <c r="B183" s="1" t="s">
        <v>89</v>
      </c>
      <c r="C183" s="1">
        <v>103</v>
      </c>
      <c r="D183" s="1" t="s">
        <v>873</v>
      </c>
      <c r="E183" s="1">
        <v>5000286280</v>
      </c>
      <c r="F183" s="2">
        <v>3067</v>
      </c>
      <c r="G183" s="1">
        <v>114</v>
      </c>
      <c r="H183" s="1">
        <v>72.5</v>
      </c>
      <c r="I183" s="4">
        <v>76.3</v>
      </c>
      <c r="J183" s="1">
        <f t="shared" si="21"/>
        <v>3.7999999999999972</v>
      </c>
      <c r="K183" s="1">
        <f t="shared" si="22"/>
        <v>11654.599999999991</v>
      </c>
    </row>
    <row r="184" spans="1:11" x14ac:dyDescent="0.25">
      <c r="A184" s="1">
        <v>1001401</v>
      </c>
      <c r="B184" s="1" t="s">
        <v>89</v>
      </c>
      <c r="C184" s="1">
        <v>103</v>
      </c>
      <c r="D184" s="1" t="s">
        <v>875</v>
      </c>
      <c r="E184" s="1">
        <v>5000283626</v>
      </c>
      <c r="F184" s="1">
        <v>926</v>
      </c>
      <c r="G184" s="1">
        <v>114</v>
      </c>
      <c r="H184" s="1">
        <v>72.5</v>
      </c>
      <c r="I184" s="4">
        <v>76.3</v>
      </c>
      <c r="J184" s="1">
        <f t="shared" si="21"/>
        <v>3.7999999999999972</v>
      </c>
      <c r="K184" s="1">
        <f t="shared" si="22"/>
        <v>3518.7999999999975</v>
      </c>
    </row>
    <row r="185" spans="1:11" x14ac:dyDescent="0.25">
      <c r="A185" s="1">
        <v>1001401</v>
      </c>
      <c r="B185" s="1" t="s">
        <v>89</v>
      </c>
      <c r="C185" s="1">
        <v>103</v>
      </c>
      <c r="D185" s="1" t="s">
        <v>845</v>
      </c>
      <c r="E185" s="1">
        <v>5000282212</v>
      </c>
      <c r="F185" s="1">
        <v>859</v>
      </c>
      <c r="G185" s="1">
        <v>114</v>
      </c>
      <c r="H185" s="1">
        <v>72.5</v>
      </c>
      <c r="I185" s="4">
        <v>76.3</v>
      </c>
      <c r="J185" s="1">
        <f t="shared" si="21"/>
        <v>3.7999999999999972</v>
      </c>
      <c r="K185" s="1">
        <f t="shared" si="22"/>
        <v>3264.1999999999975</v>
      </c>
    </row>
    <row r="186" spans="1:11" x14ac:dyDescent="0.25">
      <c r="A186" s="1">
        <v>1001401</v>
      </c>
      <c r="B186" s="1" t="s">
        <v>89</v>
      </c>
      <c r="C186" s="1">
        <v>103</v>
      </c>
      <c r="D186" s="1" t="s">
        <v>845</v>
      </c>
      <c r="E186" s="1">
        <v>5000282212</v>
      </c>
      <c r="F186" s="2">
        <v>1235</v>
      </c>
      <c r="G186" s="1">
        <v>114</v>
      </c>
      <c r="H186" s="1">
        <v>72.5</v>
      </c>
      <c r="I186" s="4">
        <v>76.3</v>
      </c>
      <c r="J186" s="1">
        <f t="shared" si="21"/>
        <v>3.7999999999999972</v>
      </c>
      <c r="K186" s="1">
        <f t="shared" si="22"/>
        <v>4692.9999999999964</v>
      </c>
    </row>
    <row r="187" spans="1:11" x14ac:dyDescent="0.25">
      <c r="A187" s="1">
        <v>1001263</v>
      </c>
      <c r="B187" s="1" t="s">
        <v>108</v>
      </c>
      <c r="C187" s="1">
        <v>103</v>
      </c>
      <c r="D187" s="1" t="s">
        <v>853</v>
      </c>
      <c r="E187" s="1">
        <v>5000288498</v>
      </c>
      <c r="F187" s="2">
        <v>1541</v>
      </c>
      <c r="G187" s="1">
        <v>114</v>
      </c>
      <c r="H187" s="1">
        <v>72.5</v>
      </c>
      <c r="I187" s="4">
        <v>76.3</v>
      </c>
      <c r="J187" s="1">
        <f t="shared" si="21"/>
        <v>3.7999999999999972</v>
      </c>
      <c r="K187" s="1">
        <f t="shared" si="22"/>
        <v>5855.7999999999956</v>
      </c>
    </row>
    <row r="188" spans="1:11" x14ac:dyDescent="0.25">
      <c r="A188" s="1">
        <v>1000538</v>
      </c>
      <c r="B188" s="1" t="s">
        <v>88</v>
      </c>
      <c r="C188" s="1">
        <v>103</v>
      </c>
      <c r="D188" s="1" t="s">
        <v>876</v>
      </c>
      <c r="E188" s="1">
        <v>5000289045</v>
      </c>
      <c r="F188" s="1">
        <v>745</v>
      </c>
      <c r="G188" s="1">
        <v>114</v>
      </c>
      <c r="H188" s="1">
        <v>72.5</v>
      </c>
      <c r="I188" s="4">
        <v>76.3</v>
      </c>
      <c r="J188" s="1">
        <f t="shared" si="21"/>
        <v>3.7999999999999972</v>
      </c>
      <c r="K188" s="1">
        <f t="shared" si="22"/>
        <v>2830.9999999999977</v>
      </c>
    </row>
    <row r="189" spans="1:11" x14ac:dyDescent="0.25">
      <c r="A189" s="1">
        <v>1000538</v>
      </c>
      <c r="B189" s="1" t="s">
        <v>88</v>
      </c>
      <c r="C189" s="1">
        <v>103</v>
      </c>
      <c r="D189" s="1" t="s">
        <v>876</v>
      </c>
      <c r="E189" s="1">
        <v>5000289045</v>
      </c>
      <c r="F189" s="1">
        <v>300</v>
      </c>
      <c r="G189" s="1">
        <v>114</v>
      </c>
      <c r="H189" s="1">
        <v>72.5</v>
      </c>
      <c r="I189" s="4">
        <v>76.3</v>
      </c>
      <c r="J189" s="1">
        <f t="shared" si="21"/>
        <v>3.7999999999999972</v>
      </c>
      <c r="K189" s="1">
        <f t="shared" si="22"/>
        <v>1139.9999999999991</v>
      </c>
    </row>
    <row r="190" spans="1:11" x14ac:dyDescent="0.25">
      <c r="A190" s="1">
        <v>1003198</v>
      </c>
      <c r="B190" s="1" t="s">
        <v>743</v>
      </c>
      <c r="C190" s="1">
        <v>103</v>
      </c>
      <c r="D190" s="1" t="s">
        <v>876</v>
      </c>
      <c r="E190" s="1">
        <v>5000289045</v>
      </c>
      <c r="F190" s="1">
        <v>538</v>
      </c>
      <c r="G190" s="1">
        <v>114</v>
      </c>
      <c r="H190" s="1">
        <v>76.400000000000006</v>
      </c>
      <c r="I190" s="4">
        <v>76.8</v>
      </c>
      <c r="J190" s="1">
        <f t="shared" si="21"/>
        <v>0.39999999999999147</v>
      </c>
      <c r="K190" s="1">
        <f t="shared" si="22"/>
        <v>215.19999999999541</v>
      </c>
    </row>
    <row r="191" spans="1:11" x14ac:dyDescent="0.25">
      <c r="A191" s="1">
        <v>1003198</v>
      </c>
      <c r="B191" s="1" t="s">
        <v>743</v>
      </c>
      <c r="C191" s="1">
        <v>103</v>
      </c>
      <c r="D191" s="1" t="s">
        <v>876</v>
      </c>
      <c r="E191" s="1">
        <v>5000289045</v>
      </c>
      <c r="F191" s="1">
        <v>10</v>
      </c>
      <c r="G191" s="1">
        <v>114</v>
      </c>
      <c r="H191" s="1">
        <v>76.400000000000006</v>
      </c>
      <c r="I191" s="4">
        <v>76.8</v>
      </c>
      <c r="J191" s="1">
        <f t="shared" si="21"/>
        <v>0.39999999999999147</v>
      </c>
      <c r="K191" s="1">
        <f t="shared" si="22"/>
        <v>3.9999999999999147</v>
      </c>
    </row>
    <row r="192" spans="1:11" x14ac:dyDescent="0.25">
      <c r="A192" s="1">
        <v>1003198</v>
      </c>
      <c r="B192" s="1" t="s">
        <v>743</v>
      </c>
      <c r="C192" s="1">
        <v>103</v>
      </c>
      <c r="D192" s="1" t="s">
        <v>874</v>
      </c>
      <c r="E192" s="1">
        <v>5000287492</v>
      </c>
      <c r="F192" s="2">
        <v>1088</v>
      </c>
      <c r="G192" s="1">
        <v>114</v>
      </c>
      <c r="H192" s="1">
        <v>76.400000000000006</v>
      </c>
      <c r="I192" s="4">
        <v>76.8</v>
      </c>
      <c r="J192" s="1">
        <f t="shared" si="21"/>
        <v>0.39999999999999147</v>
      </c>
      <c r="K192" s="1">
        <f t="shared" si="22"/>
        <v>435.19999999999072</v>
      </c>
    </row>
    <row r="193" spans="1:11" x14ac:dyDescent="0.25">
      <c r="A193" s="1">
        <v>1003198</v>
      </c>
      <c r="B193" s="1" t="s">
        <v>743</v>
      </c>
      <c r="C193" s="1">
        <v>103</v>
      </c>
      <c r="D193" s="1" t="s">
        <v>877</v>
      </c>
      <c r="E193" s="1">
        <v>5000285812</v>
      </c>
      <c r="F193" s="1">
        <v>36</v>
      </c>
      <c r="G193" s="1">
        <v>114</v>
      </c>
      <c r="H193" s="1">
        <v>76.400000000000006</v>
      </c>
      <c r="I193" s="4">
        <v>76.8</v>
      </c>
      <c r="J193" s="1">
        <f t="shared" si="21"/>
        <v>0.39999999999999147</v>
      </c>
      <c r="K193" s="1">
        <f t="shared" si="22"/>
        <v>14.399999999999693</v>
      </c>
    </row>
    <row r="194" spans="1:11" x14ac:dyDescent="0.25">
      <c r="A194" s="1">
        <v>1003198</v>
      </c>
      <c r="B194" s="1" t="s">
        <v>743</v>
      </c>
      <c r="C194" s="1">
        <v>103</v>
      </c>
      <c r="D194" s="1" t="s">
        <v>877</v>
      </c>
      <c r="E194" s="1">
        <v>5000285812</v>
      </c>
      <c r="F194" s="1">
        <v>500</v>
      </c>
      <c r="G194" s="1">
        <v>114</v>
      </c>
      <c r="H194" s="1">
        <v>76.400000000000006</v>
      </c>
      <c r="I194" s="4">
        <v>76.8</v>
      </c>
      <c r="J194" s="1">
        <f t="shared" si="21"/>
        <v>0.39999999999999147</v>
      </c>
      <c r="K194" s="1">
        <f t="shared" si="22"/>
        <v>199.99999999999574</v>
      </c>
    </row>
    <row r="195" spans="1:11" x14ac:dyDescent="0.25">
      <c r="A195" s="1">
        <v>1003198</v>
      </c>
      <c r="B195" s="1" t="s">
        <v>743</v>
      </c>
      <c r="C195" s="1">
        <v>103</v>
      </c>
      <c r="D195" s="1" t="s">
        <v>877</v>
      </c>
      <c r="E195" s="1">
        <v>5000285812</v>
      </c>
      <c r="F195" s="2">
        <v>1434</v>
      </c>
      <c r="G195" s="1">
        <v>114</v>
      </c>
      <c r="H195" s="1">
        <v>76.400000000000006</v>
      </c>
      <c r="I195" s="4">
        <v>76.8</v>
      </c>
      <c r="J195" s="1">
        <f t="shared" si="21"/>
        <v>0.39999999999999147</v>
      </c>
      <c r="K195" s="1">
        <f t="shared" si="22"/>
        <v>573.59999999998774</v>
      </c>
    </row>
    <row r="196" spans="1:11" x14ac:dyDescent="0.25">
      <c r="A196" s="1">
        <v>1003198</v>
      </c>
      <c r="B196" s="1" t="s">
        <v>743</v>
      </c>
      <c r="C196" s="1">
        <v>103</v>
      </c>
      <c r="D196" s="1" t="s">
        <v>848</v>
      </c>
      <c r="E196" s="1">
        <v>5000282917</v>
      </c>
      <c r="F196" s="1">
        <v>407</v>
      </c>
      <c r="G196" s="1">
        <v>114</v>
      </c>
      <c r="H196" s="1">
        <v>76.400000000000006</v>
      </c>
      <c r="I196" s="4">
        <v>76.8</v>
      </c>
      <c r="J196" s="1">
        <f t="shared" si="21"/>
        <v>0.39999999999999147</v>
      </c>
      <c r="K196" s="1">
        <f t="shared" si="22"/>
        <v>162.79999999999654</v>
      </c>
    </row>
    <row r="197" spans="1:11" x14ac:dyDescent="0.25">
      <c r="A197" s="1">
        <v>1003198</v>
      </c>
      <c r="B197" s="1" t="s">
        <v>743</v>
      </c>
      <c r="C197" s="1">
        <v>103</v>
      </c>
      <c r="D197" s="1" t="s">
        <v>848</v>
      </c>
      <c r="E197" s="1">
        <v>5000282915</v>
      </c>
      <c r="F197" s="1">
        <v>407</v>
      </c>
      <c r="G197" s="1">
        <v>114</v>
      </c>
      <c r="H197" s="1">
        <v>76.400000000000006</v>
      </c>
      <c r="I197" s="4">
        <v>76.8</v>
      </c>
      <c r="J197" s="1">
        <f t="shared" si="21"/>
        <v>0.39999999999999147</v>
      </c>
      <c r="K197" s="1">
        <f t="shared" si="22"/>
        <v>162.79999999999654</v>
      </c>
    </row>
    <row r="198" spans="1:11" x14ac:dyDescent="0.25">
      <c r="A198" s="1">
        <v>1001816</v>
      </c>
      <c r="B198" s="1" t="s">
        <v>158</v>
      </c>
      <c r="C198" s="1">
        <v>103</v>
      </c>
      <c r="D198" s="1" t="s">
        <v>851</v>
      </c>
      <c r="E198" s="1">
        <v>5000286011</v>
      </c>
      <c r="F198" s="2">
        <v>1181</v>
      </c>
      <c r="G198" s="1">
        <v>114</v>
      </c>
      <c r="H198" s="1">
        <v>76.400000000000006</v>
      </c>
      <c r="I198" s="4">
        <v>76.8</v>
      </c>
      <c r="J198" s="1">
        <f t="shared" si="21"/>
        <v>0.39999999999999147</v>
      </c>
      <c r="K198" s="1">
        <f t="shared" si="22"/>
        <v>472.39999999998992</v>
      </c>
    </row>
    <row r="199" spans="1:11" x14ac:dyDescent="0.25">
      <c r="A199" s="1">
        <v>1001816</v>
      </c>
      <c r="B199" s="1" t="s">
        <v>158</v>
      </c>
      <c r="C199" s="1">
        <v>103</v>
      </c>
      <c r="D199" s="1" t="s">
        <v>851</v>
      </c>
      <c r="E199" s="1">
        <v>5000286011</v>
      </c>
      <c r="F199" s="1">
        <v>365</v>
      </c>
      <c r="G199" s="1">
        <v>114</v>
      </c>
      <c r="H199" s="1">
        <v>76.400000000000006</v>
      </c>
      <c r="I199" s="4">
        <v>76.8</v>
      </c>
      <c r="J199" s="1">
        <f t="shared" si="21"/>
        <v>0.39999999999999147</v>
      </c>
      <c r="K199" s="1">
        <f t="shared" si="22"/>
        <v>145.99999999999687</v>
      </c>
    </row>
    <row r="200" spans="1:11" x14ac:dyDescent="0.25">
      <c r="A200" s="1">
        <v>1001816</v>
      </c>
      <c r="B200" s="1" t="s">
        <v>158</v>
      </c>
      <c r="C200" s="1">
        <v>103</v>
      </c>
      <c r="D200" s="1" t="s">
        <v>851</v>
      </c>
      <c r="E200" s="1">
        <v>5000286011</v>
      </c>
      <c r="F200" s="2">
        <v>1400</v>
      </c>
      <c r="G200" s="1">
        <v>114</v>
      </c>
      <c r="H200" s="1">
        <v>76.400000000000006</v>
      </c>
      <c r="I200" s="4">
        <v>76.8</v>
      </c>
      <c r="J200" s="1">
        <f t="shared" si="21"/>
        <v>0.39999999999999147</v>
      </c>
      <c r="K200" s="1">
        <f t="shared" si="22"/>
        <v>559.99999999998806</v>
      </c>
    </row>
    <row r="201" spans="1:11" x14ac:dyDescent="0.25">
      <c r="A201" s="1">
        <v>1001816</v>
      </c>
      <c r="B201" s="1" t="s">
        <v>158</v>
      </c>
      <c r="C201" s="1">
        <v>103</v>
      </c>
      <c r="D201" s="1" t="s">
        <v>845</v>
      </c>
      <c r="E201" s="1">
        <v>5000282212</v>
      </c>
      <c r="F201" s="1">
        <v>93</v>
      </c>
      <c r="G201" s="1">
        <v>114</v>
      </c>
      <c r="H201" s="1">
        <v>76.400000000000006</v>
      </c>
      <c r="I201" s="4">
        <v>76.8</v>
      </c>
      <c r="J201" s="1">
        <f t="shared" si="21"/>
        <v>0.39999999999999147</v>
      </c>
      <c r="K201" s="1">
        <f t="shared" si="22"/>
        <v>37.199999999999207</v>
      </c>
    </row>
    <row r="202" spans="1:11" x14ac:dyDescent="0.25">
      <c r="A202" s="1">
        <v>1001816</v>
      </c>
      <c r="B202" s="1" t="s">
        <v>158</v>
      </c>
      <c r="C202" s="1">
        <v>103</v>
      </c>
      <c r="D202" s="1" t="s">
        <v>845</v>
      </c>
      <c r="E202" s="1">
        <v>5000282212</v>
      </c>
      <c r="F202" s="2">
        <v>1326</v>
      </c>
      <c r="G202" s="1">
        <v>114</v>
      </c>
      <c r="H202" s="1">
        <v>76.400000000000006</v>
      </c>
      <c r="I202" s="4">
        <v>76.8</v>
      </c>
      <c r="J202" s="1">
        <f t="shared" si="21"/>
        <v>0.39999999999999147</v>
      </c>
      <c r="K202" s="1">
        <f t="shared" si="22"/>
        <v>530.39999999998872</v>
      </c>
    </row>
    <row r="203" spans="1:11" x14ac:dyDescent="0.25">
      <c r="A203" s="1">
        <v>1001934</v>
      </c>
      <c r="B203" s="1" t="s">
        <v>91</v>
      </c>
      <c r="C203" s="1">
        <v>103</v>
      </c>
      <c r="D203" s="1" t="s">
        <v>847</v>
      </c>
      <c r="E203" s="1">
        <v>5000288210</v>
      </c>
      <c r="F203" s="2">
        <v>1923</v>
      </c>
      <c r="G203" s="1">
        <v>114</v>
      </c>
      <c r="H203" s="1">
        <v>76.400000000000006</v>
      </c>
      <c r="I203" s="4">
        <v>76.8</v>
      </c>
      <c r="J203" s="1">
        <f t="shared" si="21"/>
        <v>0.39999999999999147</v>
      </c>
      <c r="K203" s="1">
        <f t="shared" si="22"/>
        <v>769.19999999998356</v>
      </c>
    </row>
    <row r="204" spans="1:11" x14ac:dyDescent="0.25">
      <c r="A204" s="1">
        <v>1001886</v>
      </c>
      <c r="B204" s="1" t="s">
        <v>90</v>
      </c>
      <c r="C204" s="1">
        <v>103</v>
      </c>
      <c r="D204" s="1" t="s">
        <v>847</v>
      </c>
      <c r="E204" s="1">
        <v>5000288210</v>
      </c>
      <c r="F204" s="1">
        <v>665</v>
      </c>
      <c r="G204" s="1">
        <v>114</v>
      </c>
      <c r="H204" s="1">
        <v>76.400000000000006</v>
      </c>
      <c r="I204" s="4">
        <v>76.8</v>
      </c>
      <c r="J204" s="1">
        <f t="shared" si="21"/>
        <v>0.39999999999999147</v>
      </c>
      <c r="K204" s="1">
        <f t="shared" si="22"/>
        <v>265.99999999999432</v>
      </c>
    </row>
    <row r="205" spans="1:11" x14ac:dyDescent="0.25">
      <c r="A205" s="1">
        <v>1001886</v>
      </c>
      <c r="B205" s="1" t="s">
        <v>90</v>
      </c>
      <c r="C205" s="1">
        <v>103</v>
      </c>
      <c r="D205" s="1" t="s">
        <v>847</v>
      </c>
      <c r="E205" s="1">
        <v>5000288210</v>
      </c>
      <c r="F205" s="1">
        <v>560</v>
      </c>
      <c r="G205" s="1">
        <v>114</v>
      </c>
      <c r="H205" s="1">
        <v>76.400000000000006</v>
      </c>
      <c r="I205" s="4">
        <v>76.8</v>
      </c>
      <c r="J205" s="1">
        <f t="shared" si="21"/>
        <v>0.39999999999999147</v>
      </c>
      <c r="K205" s="1">
        <f t="shared" si="22"/>
        <v>223.99999999999523</v>
      </c>
    </row>
    <row r="206" spans="1:11" x14ac:dyDescent="0.25">
      <c r="A206" s="1">
        <v>1001886</v>
      </c>
      <c r="B206" s="1" t="s">
        <v>90</v>
      </c>
      <c r="C206" s="1">
        <v>103</v>
      </c>
      <c r="D206" s="1" t="s">
        <v>848</v>
      </c>
      <c r="E206" s="1">
        <v>5000282917</v>
      </c>
      <c r="F206" s="1">
        <v>79</v>
      </c>
      <c r="G206" s="1">
        <v>114</v>
      </c>
      <c r="H206" s="1">
        <v>76.400000000000006</v>
      </c>
      <c r="I206" s="4">
        <v>76.8</v>
      </c>
      <c r="J206" s="1">
        <f t="shared" si="21"/>
        <v>0.39999999999999147</v>
      </c>
      <c r="K206" s="1">
        <f t="shared" si="22"/>
        <v>31.599999999999326</v>
      </c>
    </row>
    <row r="207" spans="1:11" x14ac:dyDescent="0.25">
      <c r="A207" s="1">
        <v>1001886</v>
      </c>
      <c r="B207" s="1" t="s">
        <v>90</v>
      </c>
      <c r="C207" s="1">
        <v>103</v>
      </c>
      <c r="D207" s="1" t="s">
        <v>848</v>
      </c>
      <c r="E207" s="1">
        <v>5000282917</v>
      </c>
      <c r="F207" s="1">
        <v>182</v>
      </c>
      <c r="G207" s="1">
        <v>114</v>
      </c>
      <c r="H207" s="1">
        <v>76.400000000000006</v>
      </c>
      <c r="I207" s="4">
        <v>76.8</v>
      </c>
      <c r="J207" s="1">
        <f t="shared" si="21"/>
        <v>0.39999999999999147</v>
      </c>
      <c r="K207" s="1">
        <f t="shared" si="22"/>
        <v>72.799999999998448</v>
      </c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>
        <f>SUM(F169:F208)</f>
        <v>30717</v>
      </c>
      <c r="G209" s="1"/>
      <c r="H209" s="1"/>
      <c r="I209" s="1"/>
      <c r="J209" s="1" t="s">
        <v>58</v>
      </c>
      <c r="K209" s="1">
        <f>SUM(K169:K207)</f>
        <v>75264.999999999913</v>
      </c>
    </row>
    <row r="212" spans="1:11" x14ac:dyDescent="0.25">
      <c r="A212" s="5"/>
      <c r="B212" s="1" t="s">
        <v>169</v>
      </c>
      <c r="C212" s="1"/>
      <c r="D212" s="1" t="s">
        <v>878</v>
      </c>
      <c r="E212" s="1" t="s">
        <v>618</v>
      </c>
      <c r="F212" s="1" t="s">
        <v>22</v>
      </c>
      <c r="G212" s="1"/>
      <c r="H212" s="1" t="s">
        <v>763</v>
      </c>
      <c r="I212" s="1" t="s">
        <v>764</v>
      </c>
      <c r="J212" s="1" t="s">
        <v>52</v>
      </c>
      <c r="K212" s="1" t="s">
        <v>21</v>
      </c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>
        <v>1002052</v>
      </c>
      <c r="B214" s="1" t="s">
        <v>677</v>
      </c>
      <c r="C214" s="1">
        <v>103</v>
      </c>
      <c r="D214" s="1" t="s">
        <v>869</v>
      </c>
      <c r="E214" s="1">
        <v>5000286501</v>
      </c>
      <c r="F214" s="2">
        <v>46054</v>
      </c>
      <c r="G214" s="1">
        <v>112</v>
      </c>
      <c r="H214" s="1">
        <v>7885</v>
      </c>
      <c r="I214" s="1">
        <v>9076</v>
      </c>
      <c r="J214" s="1">
        <f>I214-H214</f>
        <v>1191</v>
      </c>
      <c r="K214" s="127">
        <f>J214*F214/1000</f>
        <v>54850.313999999998</v>
      </c>
    </row>
    <row r="215" spans="1:11" x14ac:dyDescent="0.25">
      <c r="A215" s="1">
        <v>1002052</v>
      </c>
      <c r="B215" s="1" t="s">
        <v>677</v>
      </c>
      <c r="C215" s="1">
        <v>103</v>
      </c>
      <c r="D215" s="1" t="s">
        <v>869</v>
      </c>
      <c r="E215" s="1">
        <v>5000286501</v>
      </c>
      <c r="F215" s="2">
        <v>7406</v>
      </c>
      <c r="G215" s="1">
        <v>112</v>
      </c>
      <c r="H215" s="1">
        <v>7885</v>
      </c>
      <c r="I215" s="1">
        <v>9076</v>
      </c>
      <c r="J215" s="1">
        <f>I215-H215</f>
        <v>1191</v>
      </c>
      <c r="K215" s="127">
        <f>J215*F215/1000</f>
        <v>8820.5460000000003</v>
      </c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2">
        <f>SUM(F214:F216)</f>
        <v>53460</v>
      </c>
      <c r="G217" s="1"/>
      <c r="H217" s="1"/>
      <c r="I217" s="1"/>
      <c r="J217" s="1" t="s">
        <v>58</v>
      </c>
      <c r="K217" s="127">
        <f>SUM(K214:K215)</f>
        <v>63670.86</v>
      </c>
    </row>
    <row r="220" spans="1:11" x14ac:dyDescent="0.25">
      <c r="A220" s="1"/>
      <c r="B220" s="5" t="s">
        <v>834</v>
      </c>
      <c r="C220" s="1"/>
      <c r="D220" s="1"/>
      <c r="E220" s="1"/>
      <c r="F220" s="1"/>
      <c r="G220" s="1"/>
    </row>
    <row r="221" spans="1:11" x14ac:dyDescent="0.25">
      <c r="A221" s="1" t="s">
        <v>436</v>
      </c>
      <c r="B221" s="1" t="s">
        <v>169</v>
      </c>
      <c r="C221" s="1"/>
      <c r="D221" s="1" t="s">
        <v>878</v>
      </c>
      <c r="E221" s="1" t="s">
        <v>618</v>
      </c>
      <c r="F221" s="1" t="s">
        <v>22</v>
      </c>
      <c r="G221" s="1"/>
    </row>
    <row r="222" spans="1:11" x14ac:dyDescent="0.25">
      <c r="A222" s="1">
        <v>1003086</v>
      </c>
      <c r="B222" s="1" t="s">
        <v>626</v>
      </c>
      <c r="C222" s="1">
        <v>103</v>
      </c>
      <c r="D222" s="1" t="s">
        <v>847</v>
      </c>
      <c r="E222" s="1">
        <v>5000288141</v>
      </c>
      <c r="F222" s="2">
        <v>24600</v>
      </c>
      <c r="G222" s="1" t="s">
        <v>520</v>
      </c>
    </row>
    <row r="223" spans="1:11" x14ac:dyDescent="0.25">
      <c r="A223" s="1">
        <v>1003086</v>
      </c>
      <c r="B223" s="1" t="s">
        <v>626</v>
      </c>
      <c r="C223" s="1">
        <v>103</v>
      </c>
      <c r="D223" s="1" t="s">
        <v>847</v>
      </c>
      <c r="E223" s="1">
        <v>5000288142</v>
      </c>
      <c r="F223" s="2">
        <v>382500</v>
      </c>
      <c r="G223" s="1" t="s">
        <v>520</v>
      </c>
    </row>
    <row r="224" spans="1:11" x14ac:dyDescent="0.25">
      <c r="A224" s="1">
        <v>1003086</v>
      </c>
      <c r="B224" s="1" t="s">
        <v>626</v>
      </c>
      <c r="C224" s="1">
        <v>103</v>
      </c>
      <c r="D224" s="1" t="s">
        <v>847</v>
      </c>
      <c r="E224" s="1">
        <v>5000288142</v>
      </c>
      <c r="F224" s="2">
        <v>9900</v>
      </c>
      <c r="G224" s="1" t="s">
        <v>520</v>
      </c>
    </row>
    <row r="225" spans="1:11" x14ac:dyDescent="0.25">
      <c r="A225" s="1"/>
      <c r="B225" s="1"/>
      <c r="C225" s="1"/>
      <c r="D225" s="1"/>
      <c r="E225" s="1"/>
      <c r="F225" s="1"/>
      <c r="G225" s="1"/>
    </row>
    <row r="228" spans="1:11" x14ac:dyDescent="0.25">
      <c r="A228" s="1"/>
      <c r="B228" s="1" t="s">
        <v>169</v>
      </c>
      <c r="C228" s="1" t="s">
        <v>878</v>
      </c>
      <c r="D228" s="1" t="s">
        <v>22</v>
      </c>
      <c r="E228" s="1" t="s">
        <v>618</v>
      </c>
      <c r="F228" s="1" t="s">
        <v>619</v>
      </c>
      <c r="G228" s="1" t="s">
        <v>210</v>
      </c>
      <c r="H228" s="1" t="s">
        <v>465</v>
      </c>
      <c r="I228" s="1" t="s">
        <v>21</v>
      </c>
    </row>
    <row r="229" spans="1:11" x14ac:dyDescent="0.25">
      <c r="A229" s="1">
        <v>1003072</v>
      </c>
      <c r="B229" s="1" t="s">
        <v>879</v>
      </c>
      <c r="C229" s="1" t="s">
        <v>844</v>
      </c>
      <c r="D229" s="2">
        <v>50000</v>
      </c>
      <c r="E229" s="1">
        <v>5000284035</v>
      </c>
      <c r="F229" s="1">
        <v>800</v>
      </c>
      <c r="G229" s="1">
        <v>1050</v>
      </c>
      <c r="H229" s="1">
        <f>G229-F229</f>
        <v>250</v>
      </c>
      <c r="I229" s="1">
        <f>H229*D229/1000</f>
        <v>12500</v>
      </c>
    </row>
    <row r="230" spans="1:11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11" x14ac:dyDescent="0.25">
      <c r="A231" s="1"/>
      <c r="B231" s="1"/>
      <c r="C231" s="1"/>
      <c r="D231" s="1"/>
      <c r="E231" s="1"/>
      <c r="F231" s="1"/>
      <c r="G231" s="1"/>
      <c r="H231" s="1"/>
      <c r="I231" s="1">
        <v>12500</v>
      </c>
    </row>
    <row r="233" spans="1:11" x14ac:dyDescent="0.25">
      <c r="A233" s="1"/>
      <c r="B233" s="1" t="s">
        <v>169</v>
      </c>
      <c r="C233" s="1"/>
      <c r="D233" s="1" t="s">
        <v>22</v>
      </c>
      <c r="E233" s="1"/>
      <c r="F233" s="1" t="s">
        <v>619</v>
      </c>
      <c r="G233" s="1" t="s">
        <v>210</v>
      </c>
      <c r="H233" s="1" t="s">
        <v>465</v>
      </c>
      <c r="I233" s="1" t="s">
        <v>21</v>
      </c>
    </row>
    <row r="234" spans="1:11" x14ac:dyDescent="0.25">
      <c r="A234" s="1">
        <v>1003073</v>
      </c>
      <c r="B234" s="1" t="s">
        <v>880</v>
      </c>
      <c r="C234" s="1" t="s">
        <v>876</v>
      </c>
      <c r="D234" s="2">
        <v>90000</v>
      </c>
      <c r="E234" s="1" t="s">
        <v>0</v>
      </c>
      <c r="F234" s="3">
        <v>1.68</v>
      </c>
      <c r="G234" s="1">
        <v>1.85</v>
      </c>
      <c r="H234" s="3">
        <f>G234-F234</f>
        <v>0.17000000000000015</v>
      </c>
      <c r="I234" s="1">
        <f>H234*D234</f>
        <v>15300.000000000013</v>
      </c>
    </row>
    <row r="235" spans="1:11" x14ac:dyDescent="0.25">
      <c r="A235" s="1">
        <v>1003073</v>
      </c>
      <c r="B235" s="1" t="s">
        <v>880</v>
      </c>
      <c r="C235" s="1" t="s">
        <v>876</v>
      </c>
      <c r="D235" s="2">
        <v>16500</v>
      </c>
      <c r="E235" s="1" t="s">
        <v>0</v>
      </c>
      <c r="F235" s="3">
        <v>1.68</v>
      </c>
      <c r="G235" s="1">
        <v>1.85</v>
      </c>
      <c r="H235" s="3">
        <f t="shared" ref="H235:H237" si="23">G235-F235</f>
        <v>0.17000000000000015</v>
      </c>
      <c r="I235" s="1">
        <f t="shared" ref="I235:I237" si="24">H235*D235</f>
        <v>2805.0000000000023</v>
      </c>
    </row>
    <row r="236" spans="1:11" x14ac:dyDescent="0.25">
      <c r="A236" s="1">
        <v>1003073</v>
      </c>
      <c r="B236" s="1" t="s">
        <v>880</v>
      </c>
      <c r="C236" s="1" t="s">
        <v>881</v>
      </c>
      <c r="D236" s="2">
        <v>100000</v>
      </c>
      <c r="E236" s="1" t="s">
        <v>0</v>
      </c>
      <c r="F236" s="3">
        <v>1.68</v>
      </c>
      <c r="G236" s="1">
        <v>1.85</v>
      </c>
      <c r="H236" s="3">
        <f t="shared" si="23"/>
        <v>0.17000000000000015</v>
      </c>
      <c r="I236" s="1">
        <f t="shared" si="24"/>
        <v>17000.000000000015</v>
      </c>
    </row>
    <row r="237" spans="1:11" x14ac:dyDescent="0.25">
      <c r="A237" s="1">
        <v>1003073</v>
      </c>
      <c r="B237" s="1" t="s">
        <v>880</v>
      </c>
      <c r="C237" s="1" t="s">
        <v>881</v>
      </c>
      <c r="D237" s="2">
        <v>10000</v>
      </c>
      <c r="E237" s="1" t="s">
        <v>0</v>
      </c>
      <c r="F237" s="3">
        <v>1.68</v>
      </c>
      <c r="G237" s="1">
        <v>1.85</v>
      </c>
      <c r="H237" s="3">
        <f t="shared" si="23"/>
        <v>0.17000000000000015</v>
      </c>
      <c r="I237" s="1">
        <f t="shared" si="24"/>
        <v>1700.0000000000016</v>
      </c>
    </row>
    <row r="238" spans="1:11" x14ac:dyDescent="0.25">
      <c r="A238" s="1"/>
      <c r="B238" s="1"/>
      <c r="C238" s="1"/>
      <c r="D238" s="1"/>
      <c r="E238" s="1"/>
      <c r="F238" s="1"/>
      <c r="G238" s="1"/>
      <c r="H238" s="1"/>
      <c r="I238" s="1"/>
      <c r="K238">
        <v>47.38</v>
      </c>
    </row>
    <row r="239" spans="1:11" x14ac:dyDescent="0.25">
      <c r="A239" s="1"/>
      <c r="B239" s="1"/>
      <c r="C239" s="1"/>
      <c r="D239" s="2">
        <f>SUM(D234:D238)</f>
        <v>216500</v>
      </c>
      <c r="E239" s="1"/>
      <c r="F239" s="1"/>
      <c r="G239" s="1"/>
      <c r="H239" s="1" t="s">
        <v>58</v>
      </c>
      <c r="I239" s="1">
        <f>SUM(I234:I237)</f>
        <v>36805.000000000029</v>
      </c>
      <c r="K239">
        <v>33.200000000000003</v>
      </c>
    </row>
    <row r="241" spans="1:14" x14ac:dyDescent="0.25">
      <c r="I241" t="s">
        <v>892</v>
      </c>
      <c r="J241" t="s">
        <v>893</v>
      </c>
      <c r="K241" t="s">
        <v>894</v>
      </c>
    </row>
    <row r="242" spans="1:14" x14ac:dyDescent="0.25">
      <c r="A242" t="s">
        <v>820</v>
      </c>
      <c r="B242">
        <v>3000038704</v>
      </c>
      <c r="C242">
        <v>1002285</v>
      </c>
      <c r="D242" t="s">
        <v>889</v>
      </c>
      <c r="G242">
        <v>20</v>
      </c>
      <c r="H242" t="s">
        <v>0</v>
      </c>
      <c r="M242" s="20">
        <v>1700</v>
      </c>
    </row>
    <row r="243" spans="1:14" x14ac:dyDescent="0.25">
      <c r="A243" t="s">
        <v>820</v>
      </c>
      <c r="B243">
        <v>3000038704</v>
      </c>
      <c r="C243">
        <v>1003285</v>
      </c>
      <c r="D243" t="s">
        <v>890</v>
      </c>
      <c r="G243">
        <v>170</v>
      </c>
      <c r="H243" t="s">
        <v>0</v>
      </c>
      <c r="M243" s="20">
        <v>1350</v>
      </c>
    </row>
    <row r="244" spans="1:14" x14ac:dyDescent="0.25">
      <c r="A244" t="s">
        <v>888</v>
      </c>
      <c r="B244">
        <v>3000038731</v>
      </c>
      <c r="C244">
        <v>1002074</v>
      </c>
      <c r="D244" t="s">
        <v>891</v>
      </c>
      <c r="G244">
        <v>25</v>
      </c>
      <c r="H244" t="s">
        <v>616</v>
      </c>
      <c r="M244">
        <v>550</v>
      </c>
    </row>
    <row r="245" spans="1:14" x14ac:dyDescent="0.25">
      <c r="A245" t="s">
        <v>888</v>
      </c>
      <c r="B245">
        <v>3000038731</v>
      </c>
      <c r="C245">
        <v>1002074</v>
      </c>
      <c r="D245" t="s">
        <v>891</v>
      </c>
      <c r="G245">
        <v>147</v>
      </c>
      <c r="H245" t="s">
        <v>616</v>
      </c>
      <c r="M245">
        <v>520</v>
      </c>
    </row>
    <row r="246" spans="1:14" x14ac:dyDescent="0.25">
      <c r="A246" s="1" t="s">
        <v>737</v>
      </c>
      <c r="B246" s="1">
        <v>3000038152</v>
      </c>
      <c r="C246" s="1">
        <v>1002069</v>
      </c>
      <c r="D246" s="1" t="s">
        <v>414</v>
      </c>
      <c r="E246" s="1"/>
      <c r="F246" s="1"/>
      <c r="G246" s="2">
        <v>8645</v>
      </c>
      <c r="H246" s="1" t="s">
        <v>0</v>
      </c>
      <c r="I246" s="1">
        <v>47.38</v>
      </c>
      <c r="J246" s="1">
        <v>33.200000000000003</v>
      </c>
      <c r="K246" s="1">
        <f>I246-J246</f>
        <v>14.18</v>
      </c>
      <c r="L246" s="1">
        <f>K246*G246</f>
        <v>122586.09999999999</v>
      </c>
      <c r="M246" s="1">
        <v>33.200000000000003</v>
      </c>
    </row>
    <row r="248" spans="1:14" x14ac:dyDescent="0.25">
      <c r="H248" t="s">
        <v>895</v>
      </c>
      <c r="I248" t="s">
        <v>896</v>
      </c>
      <c r="J248" t="s">
        <v>698</v>
      </c>
      <c r="L248" t="s">
        <v>897</v>
      </c>
      <c r="M248" t="s">
        <v>898</v>
      </c>
      <c r="N248" t="s">
        <v>233</v>
      </c>
    </row>
    <row r="249" spans="1:14" x14ac:dyDescent="0.25">
      <c r="A249" s="1" t="s">
        <v>900</v>
      </c>
      <c r="B249" s="1">
        <v>170</v>
      </c>
      <c r="C249" s="1">
        <v>1003285</v>
      </c>
      <c r="D249" s="1" t="s">
        <v>890</v>
      </c>
      <c r="E249" s="1"/>
      <c r="F249" s="1"/>
      <c r="G249" s="1">
        <v>1090</v>
      </c>
      <c r="H249" s="1">
        <f>G249*0.125</f>
        <v>136.25</v>
      </c>
      <c r="I249" s="1">
        <f>(G249+H249)*0.02</f>
        <v>24.525000000000002</v>
      </c>
      <c r="J249" s="1">
        <v>450</v>
      </c>
      <c r="K249" s="1">
        <f>SUM(G249:J249)</f>
        <v>1700.7750000000001</v>
      </c>
      <c r="L249" s="1">
        <f>K249-H249</f>
        <v>1564.5250000000001</v>
      </c>
      <c r="M249" s="1">
        <f>L249-L250</f>
        <v>214.52500000000009</v>
      </c>
      <c r="N249" s="1">
        <f>G243*M249</f>
        <v>36469.250000000015</v>
      </c>
    </row>
    <row r="250" spans="1:14" x14ac:dyDescent="0.25">
      <c r="A250" s="1"/>
      <c r="B250" s="1" t="s">
        <v>899</v>
      </c>
      <c r="C250" s="1"/>
      <c r="D250" s="1"/>
      <c r="E250" s="1"/>
      <c r="F250" s="1"/>
      <c r="G250" s="1">
        <v>1350</v>
      </c>
      <c r="H250" s="1"/>
      <c r="I250" s="1"/>
      <c r="J250" s="1"/>
      <c r="K250" s="1">
        <f t="shared" ref="K250:K253" si="25">SUM(G250:J250)</f>
        <v>1350</v>
      </c>
      <c r="L250" s="1">
        <f>G250</f>
        <v>1350</v>
      </c>
      <c r="M250" s="1"/>
      <c r="N250" s="1"/>
    </row>
    <row r="251" spans="1:14" x14ac:dyDescent="0.25">
      <c r="A251" s="1" t="s">
        <v>900</v>
      </c>
      <c r="B251" s="1">
        <v>172</v>
      </c>
      <c r="C251" s="1">
        <v>1002074</v>
      </c>
      <c r="D251" s="1" t="s">
        <v>891</v>
      </c>
      <c r="E251" s="1"/>
      <c r="F251" s="1"/>
      <c r="G251" s="1">
        <v>450</v>
      </c>
      <c r="H251" s="1"/>
      <c r="I251" s="1">
        <f>G251*0.02</f>
        <v>9</v>
      </c>
      <c r="J251" s="1"/>
      <c r="K251" s="1">
        <f t="shared" si="25"/>
        <v>459</v>
      </c>
      <c r="L251" s="1">
        <f>K251-H251</f>
        <v>459</v>
      </c>
      <c r="M251" s="1"/>
      <c r="N251" s="1">
        <f>L251*B251</f>
        <v>78948</v>
      </c>
    </row>
    <row r="252" spans="1:14" x14ac:dyDescent="0.25">
      <c r="A252" s="1"/>
      <c r="B252" s="1" t="s">
        <v>899</v>
      </c>
      <c r="C252" s="1">
        <v>25</v>
      </c>
      <c r="D252" s="1"/>
      <c r="E252" s="1"/>
      <c r="F252" s="1"/>
      <c r="G252" s="1">
        <f>550</f>
        <v>550</v>
      </c>
      <c r="H252" s="1"/>
      <c r="I252" s="1"/>
      <c r="J252" s="1"/>
      <c r="K252" s="1">
        <f t="shared" si="25"/>
        <v>550</v>
      </c>
      <c r="L252" s="1">
        <f>K251-K252</f>
        <v>-91</v>
      </c>
      <c r="M252" s="1"/>
      <c r="N252" s="1">
        <f>K252*C252</f>
        <v>13750</v>
      </c>
    </row>
    <row r="253" spans="1:14" x14ac:dyDescent="0.25">
      <c r="A253" s="1"/>
      <c r="B253" s="1"/>
      <c r="C253" s="1">
        <v>147</v>
      </c>
      <c r="D253" s="1"/>
      <c r="E253" s="1"/>
      <c r="F253" s="1"/>
      <c r="G253" s="1">
        <v>520</v>
      </c>
      <c r="H253" s="1"/>
      <c r="I253" s="1"/>
      <c r="J253" s="1"/>
      <c r="K253" s="1">
        <f t="shared" si="25"/>
        <v>520</v>
      </c>
      <c r="L253" s="1">
        <f>K251-K253</f>
        <v>-61</v>
      </c>
      <c r="M253" s="1"/>
      <c r="N253" s="1">
        <f>C253*K253</f>
        <v>76440</v>
      </c>
    </row>
    <row r="254" spans="1:14" x14ac:dyDescent="0.25">
      <c r="A254" s="1"/>
      <c r="B254" s="1">
        <v>10</v>
      </c>
      <c r="C254" s="1">
        <v>1002285</v>
      </c>
      <c r="D254" s="1" t="s">
        <v>889</v>
      </c>
      <c r="E254" s="1"/>
      <c r="F254" s="1"/>
      <c r="G254" s="1">
        <v>1350</v>
      </c>
      <c r="H254" s="1" t="s">
        <v>0</v>
      </c>
      <c r="I254" s="1"/>
      <c r="J254" s="1"/>
      <c r="K254" s="1">
        <f>G254*0.02</f>
        <v>27</v>
      </c>
      <c r="L254" s="1">
        <f>G254+K254</f>
        <v>1377</v>
      </c>
      <c r="M254" s="1"/>
      <c r="N254" s="1">
        <f>N251-N252-N253</f>
        <v>-11242</v>
      </c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>
        <v>1700</v>
      </c>
      <c r="M255" s="1"/>
      <c r="N255" s="1">
        <f>(L254-L255)*20</f>
        <v>-6460</v>
      </c>
    </row>
    <row r="256" spans="1:14" x14ac:dyDescent="0.25">
      <c r="A256" s="1"/>
      <c r="B256" s="1"/>
      <c r="C256" s="1" t="s">
        <v>901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5">
        <f>N249+N254+N255</f>
        <v>18767.250000000015</v>
      </c>
    </row>
    <row r="258" spans="2:7" x14ac:dyDescent="0.25">
      <c r="B258" s="1" t="s">
        <v>902</v>
      </c>
      <c r="C258" s="1"/>
      <c r="D258" s="1"/>
      <c r="E258" s="1"/>
      <c r="F258" s="1"/>
      <c r="G258" s="1"/>
    </row>
    <row r="259" spans="2:7" x14ac:dyDescent="0.25">
      <c r="B259" s="1"/>
      <c r="C259" s="1" t="s">
        <v>903</v>
      </c>
      <c r="D259" s="1" t="s">
        <v>904</v>
      </c>
      <c r="E259" s="1" t="s">
        <v>905</v>
      </c>
      <c r="F259" s="1" t="s">
        <v>906</v>
      </c>
      <c r="G259" s="1"/>
    </row>
    <row r="260" spans="2:7" x14ac:dyDescent="0.25">
      <c r="B260" s="1">
        <f>100/17</f>
        <v>5.882352941176471</v>
      </c>
      <c r="C260" s="1">
        <v>40</v>
      </c>
      <c r="D260" s="1">
        <f>B260*C260</f>
        <v>235.29411764705884</v>
      </c>
      <c r="E260" s="1">
        <f>D260-D261</f>
        <v>70.588235294117652</v>
      </c>
      <c r="F260" s="1">
        <v>1700</v>
      </c>
      <c r="G260" s="1">
        <f>E260*F260</f>
        <v>120000.00000000001</v>
      </c>
    </row>
    <row r="261" spans="2:7" x14ac:dyDescent="0.25">
      <c r="B261" s="1"/>
      <c r="C261" s="1">
        <v>28</v>
      </c>
      <c r="D261" s="1">
        <f>B260*C261</f>
        <v>164.70588235294119</v>
      </c>
      <c r="E261" s="1"/>
      <c r="F261" s="1"/>
      <c r="G261" s="1"/>
    </row>
    <row r="262" spans="2:7" x14ac:dyDescent="0.25">
      <c r="B262" s="1" t="s">
        <v>907</v>
      </c>
      <c r="C262" s="1">
        <v>40</v>
      </c>
      <c r="D262" s="1">
        <f>C262*B260</f>
        <v>235.29411764705884</v>
      </c>
      <c r="E262" s="1">
        <f>D262-D263</f>
        <v>70.588235294117652</v>
      </c>
      <c r="F262" s="1">
        <v>459</v>
      </c>
      <c r="G262" s="1">
        <f>F262*E262</f>
        <v>32400.000000000004</v>
      </c>
    </row>
    <row r="263" spans="2:7" x14ac:dyDescent="0.25">
      <c r="B263" s="1"/>
      <c r="C263" s="1">
        <v>28</v>
      </c>
      <c r="D263" s="1">
        <f>C263*B260</f>
        <v>164.70588235294119</v>
      </c>
      <c r="E263" s="1"/>
      <c r="F263" s="1"/>
      <c r="G263" s="1"/>
    </row>
    <row r="264" spans="2:7" x14ac:dyDescent="0.25">
      <c r="B264" s="1" t="s">
        <v>908</v>
      </c>
      <c r="C264" s="1">
        <v>6</v>
      </c>
      <c r="D264" s="1">
        <f>B260*C264</f>
        <v>35.294117647058826</v>
      </c>
      <c r="E264" s="1">
        <f>D264-D265</f>
        <v>11.764705882352942</v>
      </c>
      <c r="F264" s="1">
        <v>1377</v>
      </c>
      <c r="G264" s="1">
        <f>F264*E264</f>
        <v>16200.000000000002</v>
      </c>
    </row>
    <row r="265" spans="2:7" x14ac:dyDescent="0.25">
      <c r="B265" s="1"/>
      <c r="C265" s="1">
        <v>4</v>
      </c>
      <c r="D265" s="1">
        <f>C265*B260</f>
        <v>23.529411764705884</v>
      </c>
      <c r="E265" s="1"/>
      <c r="F265" s="1"/>
      <c r="G265" s="5">
        <f>SUM(G260:G264)</f>
        <v>168600.00000000003</v>
      </c>
    </row>
  </sheetData>
  <mergeCells count="4">
    <mergeCell ref="G49:J49"/>
    <mergeCell ref="K49:N49"/>
    <mergeCell ref="G62:J62"/>
    <mergeCell ref="K62:N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zoomScale="86" zoomScaleNormal="86" workbookViewId="0">
      <selection activeCell="D24" sqref="D24"/>
    </sheetView>
  </sheetViews>
  <sheetFormatPr defaultColWidth="19.7109375" defaultRowHeight="15" x14ac:dyDescent="0.25"/>
  <cols>
    <col min="2" max="2" width="21.5703125" bestFit="1" customWidth="1"/>
    <col min="3" max="3" width="34.5703125" style="29" customWidth="1"/>
    <col min="4" max="4" width="13.85546875" bestFit="1" customWidth="1"/>
    <col min="5" max="5" width="14.140625" customWidth="1"/>
    <col min="6" max="7" width="20.42578125" bestFit="1" customWidth="1"/>
    <col min="8" max="8" width="15.140625" customWidth="1"/>
    <col min="9" max="9" width="24" bestFit="1" customWidth="1"/>
    <col min="10" max="10" width="10.85546875" customWidth="1"/>
  </cols>
  <sheetData>
    <row r="2" spans="2:10" ht="21" x14ac:dyDescent="0.35">
      <c r="B2" s="71" t="s">
        <v>838</v>
      </c>
    </row>
    <row r="3" spans="2:10" ht="27" x14ac:dyDescent="0.25">
      <c r="B3" s="27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x14ac:dyDescent="0.25">
      <c r="B4" s="182" t="s">
        <v>569</v>
      </c>
      <c r="C4" s="166" t="s">
        <v>570</v>
      </c>
      <c r="D4" s="167">
        <f>'Feb 2017'!D27</f>
        <v>1166900</v>
      </c>
      <c r="E4" s="168" t="s">
        <v>39</v>
      </c>
      <c r="F4" s="168" t="s">
        <v>571</v>
      </c>
      <c r="G4" s="169">
        <f>'Feb 2017'!O28</f>
        <v>5815.2923076923144</v>
      </c>
      <c r="H4" s="169"/>
      <c r="I4" s="170" t="s">
        <v>101</v>
      </c>
      <c r="J4" s="168" t="s">
        <v>48</v>
      </c>
    </row>
    <row r="5" spans="2:10" x14ac:dyDescent="0.25">
      <c r="B5" s="184" t="s">
        <v>777</v>
      </c>
      <c r="C5" s="172" t="s">
        <v>47</v>
      </c>
      <c r="D5" s="173">
        <f>'Feb 2017'!D43</f>
        <v>41470</v>
      </c>
      <c r="E5" s="174" t="s">
        <v>29</v>
      </c>
      <c r="F5" s="174" t="s">
        <v>55</v>
      </c>
      <c r="G5" s="175">
        <f>'Feb 2017'!J43</f>
        <v>10299.5</v>
      </c>
      <c r="H5" s="175"/>
      <c r="I5" s="176" t="s">
        <v>41</v>
      </c>
      <c r="J5" s="174" t="s">
        <v>48</v>
      </c>
    </row>
    <row r="6" spans="2:10" ht="27.75" x14ac:dyDescent="0.25">
      <c r="B6" s="184" t="s">
        <v>778</v>
      </c>
      <c r="C6" s="172" t="s">
        <v>573</v>
      </c>
      <c r="D6" s="173">
        <v>18470</v>
      </c>
      <c r="E6" s="174" t="s">
        <v>29</v>
      </c>
      <c r="F6" s="174" t="s">
        <v>574</v>
      </c>
      <c r="G6" s="156">
        <f>'Feb 2017'!N43</f>
        <v>2088.8000000000002</v>
      </c>
      <c r="H6" s="175"/>
      <c r="I6" s="176" t="s">
        <v>41</v>
      </c>
      <c r="J6" s="174"/>
    </row>
    <row r="7" spans="2:10" x14ac:dyDescent="0.25">
      <c r="B7" s="186">
        <v>42767</v>
      </c>
      <c r="C7" s="172" t="s">
        <v>646</v>
      </c>
      <c r="D7" s="177">
        <f>'Feb 2017'!F206</f>
        <v>1248500</v>
      </c>
      <c r="E7" s="174" t="s">
        <v>25</v>
      </c>
      <c r="F7" s="174" t="s">
        <v>303</v>
      </c>
      <c r="G7" s="175"/>
      <c r="H7" s="175">
        <f>D7/13333.33*3000</f>
        <v>280912.57022814255</v>
      </c>
      <c r="I7" s="176"/>
      <c r="J7" s="174" t="s">
        <v>49</v>
      </c>
    </row>
    <row r="8" spans="2:10" x14ac:dyDescent="0.25">
      <c r="B8" s="185" t="s">
        <v>835</v>
      </c>
      <c r="C8" s="172" t="s">
        <v>836</v>
      </c>
      <c r="D8" s="173">
        <f>'Feb 2017'!F154</f>
        <v>14282.000000000002</v>
      </c>
      <c r="E8" s="174"/>
      <c r="F8" s="174">
        <v>4.7</v>
      </c>
      <c r="G8" s="156">
        <f>'Feb 2017'!K154</f>
        <v>67125.399999999834</v>
      </c>
      <c r="H8" s="175"/>
      <c r="I8" s="176" t="s">
        <v>430</v>
      </c>
      <c r="J8" s="174" t="s">
        <v>48</v>
      </c>
    </row>
    <row r="9" spans="2:10" ht="30" x14ac:dyDescent="0.25">
      <c r="B9" s="185" t="s">
        <v>630</v>
      </c>
      <c r="C9" s="172" t="s">
        <v>631</v>
      </c>
      <c r="D9" s="173">
        <f>'Feb 2017'!D57</f>
        <v>165200</v>
      </c>
      <c r="E9" s="174" t="s">
        <v>25</v>
      </c>
      <c r="F9" s="174" t="s">
        <v>634</v>
      </c>
      <c r="G9" s="175">
        <f>'Feb 2017'!K60</f>
        <v>1189.4400000000076</v>
      </c>
      <c r="H9" s="175"/>
      <c r="I9" s="176" t="s">
        <v>633</v>
      </c>
      <c r="J9" s="174" t="s">
        <v>48</v>
      </c>
    </row>
    <row r="10" spans="2:10" x14ac:dyDescent="0.25">
      <c r="B10" s="62" t="s">
        <v>576</v>
      </c>
      <c r="C10" s="62" t="s">
        <v>629</v>
      </c>
      <c r="D10" s="84">
        <f>'Feb 2017'!F195</f>
        <v>68398</v>
      </c>
      <c r="E10" s="56" t="s">
        <v>25</v>
      </c>
      <c r="F10" s="56" t="s">
        <v>837</v>
      </c>
      <c r="G10" s="84">
        <f>'Feb 2017'!K195</f>
        <v>44495.858</v>
      </c>
      <c r="H10" s="84"/>
      <c r="I10" s="96" t="s">
        <v>579</v>
      </c>
      <c r="J10" s="174"/>
    </row>
    <row r="11" spans="2:10" ht="27" x14ac:dyDescent="0.25">
      <c r="B11" s="183" t="s">
        <v>308</v>
      </c>
      <c r="C11" s="178" t="s">
        <v>30</v>
      </c>
      <c r="D11" s="167">
        <f>'Feb 2017'!D49</f>
        <v>507.4</v>
      </c>
      <c r="E11" s="168" t="s">
        <v>23</v>
      </c>
      <c r="F11" s="168" t="s">
        <v>307</v>
      </c>
      <c r="G11" s="169">
        <f>'Feb 2017'!K52</f>
        <v>4718.8199999999915</v>
      </c>
      <c r="H11" s="169"/>
      <c r="I11" s="170" t="s">
        <v>97</v>
      </c>
      <c r="J11" s="168" t="s">
        <v>48</v>
      </c>
    </row>
    <row r="12" spans="2:10" x14ac:dyDescent="0.25">
      <c r="B12" s="188">
        <v>42736</v>
      </c>
      <c r="C12" s="166" t="s">
        <v>780</v>
      </c>
      <c r="D12" s="167">
        <f>'Feb 2017'!D107</f>
        <v>15965.78</v>
      </c>
      <c r="E12" s="168"/>
      <c r="F12" s="168"/>
      <c r="G12" s="169">
        <f>'Feb 2017'!K107</f>
        <v>48616.525200000062</v>
      </c>
      <c r="H12" s="169"/>
      <c r="I12" s="170" t="s">
        <v>785</v>
      </c>
      <c r="J12" s="168"/>
    </row>
    <row r="13" spans="2:10" x14ac:dyDescent="0.25">
      <c r="B13" s="188">
        <v>42736</v>
      </c>
      <c r="C13" s="166" t="s">
        <v>780</v>
      </c>
      <c r="D13" s="167">
        <f>'Feb 2017'!F135</f>
        <v>18339.900000000001</v>
      </c>
      <c r="E13" s="168"/>
      <c r="F13" s="168"/>
      <c r="G13" s="169">
        <f>'Feb 2017'!K135</f>
        <v>44695.870000000097</v>
      </c>
      <c r="H13" s="169"/>
      <c r="I13" s="170" t="s">
        <v>40</v>
      </c>
      <c r="J13" s="168"/>
    </row>
    <row r="14" spans="2:10" x14ac:dyDescent="0.25">
      <c r="B14" s="188">
        <v>42736</v>
      </c>
      <c r="C14" s="166" t="s">
        <v>786</v>
      </c>
      <c r="D14" s="167">
        <f>'Feb 2017'!F161</f>
        <v>452</v>
      </c>
      <c r="E14" s="168"/>
      <c r="F14" s="168"/>
      <c r="G14" s="169">
        <f>'Feb 2017'!K163</f>
        <v>135.6</v>
      </c>
      <c r="H14" s="169"/>
      <c r="I14" s="170"/>
      <c r="J14" s="168"/>
    </row>
    <row r="15" spans="2:10" x14ac:dyDescent="0.25">
      <c r="B15" s="188">
        <v>42736</v>
      </c>
      <c r="C15" s="166" t="s">
        <v>786</v>
      </c>
      <c r="D15" s="167">
        <f>'Feb 2017'!F185</f>
        <v>13355</v>
      </c>
      <c r="E15" s="168"/>
      <c r="F15" s="168"/>
      <c r="G15" s="169">
        <f>'Feb 2017'!K185</f>
        <v>11861.599999999913</v>
      </c>
      <c r="H15" s="169"/>
      <c r="I15" s="170"/>
      <c r="J15" s="168"/>
    </row>
    <row r="16" spans="2:10" x14ac:dyDescent="0.25">
      <c r="B16" s="171"/>
      <c r="C16" s="178"/>
      <c r="D16" s="167"/>
      <c r="E16" s="168"/>
      <c r="F16" s="168"/>
      <c r="G16" s="169"/>
      <c r="H16" s="169"/>
      <c r="I16" s="170"/>
      <c r="J16" s="168"/>
    </row>
    <row r="17" spans="2:10" ht="19.5" x14ac:dyDescent="0.25">
      <c r="B17" s="179"/>
      <c r="C17" s="197" t="s">
        <v>42</v>
      </c>
      <c r="D17" s="198"/>
      <c r="E17" s="180"/>
      <c r="F17" s="180"/>
      <c r="G17" s="93">
        <f>SUM(G4:G16)</f>
        <v>241042.70550769221</v>
      </c>
      <c r="H17" s="93">
        <f>SUM(H4:H16)</f>
        <v>280912.57022814255</v>
      </c>
      <c r="I17" s="94">
        <f>SUM(G17:H17)</f>
        <v>521955.27573583473</v>
      </c>
      <c r="J17" s="149"/>
    </row>
    <row r="18" spans="2:10" x14ac:dyDescent="0.25">
      <c r="G18" s="141">
        <v>2089</v>
      </c>
    </row>
    <row r="19" spans="2:10" x14ac:dyDescent="0.25">
      <c r="G19" s="141">
        <v>67125</v>
      </c>
      <c r="H19" s="141"/>
    </row>
    <row r="20" spans="2:10" x14ac:dyDescent="0.25">
      <c r="G20" s="141">
        <f>G17-(G18+G19)</f>
        <v>171828.70550769221</v>
      </c>
      <c r="H20" s="141">
        <v>280913</v>
      </c>
      <c r="I20" s="141">
        <f>SUM(G20:H20)</f>
        <v>452741.70550769218</v>
      </c>
    </row>
    <row r="23" spans="2:10" x14ac:dyDescent="0.25">
      <c r="D23" s="141">
        <f>I17+'Consol Jan2017'!I20+'Consol March2017'!I25</f>
        <v>1792630.1737589168</v>
      </c>
    </row>
    <row r="24" spans="2:10" x14ac:dyDescent="0.25">
      <c r="C24"/>
      <c r="D24" s="18"/>
    </row>
    <row r="25" spans="2:10" x14ac:dyDescent="0.25">
      <c r="C25"/>
      <c r="D25" s="18"/>
    </row>
    <row r="29" spans="2:10" x14ac:dyDescent="0.25">
      <c r="D29" s="104"/>
    </row>
    <row r="30" spans="2:10" x14ac:dyDescent="0.25">
      <c r="D30" s="106"/>
    </row>
    <row r="31" spans="2:10" x14ac:dyDescent="0.25">
      <c r="D31" s="104"/>
    </row>
    <row r="32" spans="2:10" x14ac:dyDescent="0.25">
      <c r="D32" s="141"/>
      <c r="F32" s="142"/>
    </row>
    <row r="36" spans="6:6" x14ac:dyDescent="0.25">
      <c r="F36" s="6"/>
    </row>
  </sheetData>
  <mergeCells count="1">
    <mergeCell ref="C17:D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06"/>
  <sheetViews>
    <sheetView topLeftCell="A193" workbookViewId="0">
      <selection activeCell="F190" sqref="F190:F195"/>
    </sheetView>
  </sheetViews>
  <sheetFormatPr defaultRowHeight="15" x14ac:dyDescent="0.25"/>
  <cols>
    <col min="1" max="1" width="17" customWidth="1"/>
    <col min="2" max="2" width="45.85546875" bestFit="1" customWidth="1"/>
    <col min="3" max="3" width="12.7109375" bestFit="1" customWidth="1"/>
    <col min="4" max="4" width="11" bestFit="1" customWidth="1"/>
    <col min="5" max="5" width="14.140625" bestFit="1" customWidth="1"/>
    <col min="6" max="6" width="12.28515625" bestFit="1" customWidth="1"/>
    <col min="7" max="7" width="12.5703125" bestFit="1" customWidth="1"/>
    <col min="8" max="8" width="13.42578125" bestFit="1" customWidth="1"/>
    <col min="9" max="9" width="13.7109375" bestFit="1" customWidth="1"/>
    <col min="10" max="10" width="10.42578125" bestFit="1" customWidth="1"/>
    <col min="11" max="11" width="12" bestFit="1" customWidth="1"/>
    <col min="13" max="13" width="12.85546875" bestFit="1" customWidth="1"/>
    <col min="14" max="14" width="10.85546875" customWidth="1"/>
    <col min="15" max="15" width="12" bestFit="1" customWidth="1"/>
  </cols>
  <sheetData>
    <row r="2" spans="1:15" x14ac:dyDescent="0.25">
      <c r="H2" s="20"/>
    </row>
    <row r="3" spans="1:15" x14ac:dyDescent="0.25">
      <c r="A3" t="s">
        <v>656</v>
      </c>
    </row>
    <row r="4" spans="1:15" x14ac:dyDescent="0.25">
      <c r="A4" s="1" t="s">
        <v>167</v>
      </c>
      <c r="B4" s="1" t="s">
        <v>169</v>
      </c>
      <c r="C4" s="1"/>
      <c r="D4" s="1" t="s">
        <v>22</v>
      </c>
      <c r="E4" s="1" t="s">
        <v>593</v>
      </c>
      <c r="F4" s="1" t="s">
        <v>592</v>
      </c>
      <c r="G4" s="1" t="s">
        <v>567</v>
      </c>
      <c r="H4" s="1" t="s">
        <v>50</v>
      </c>
      <c r="I4" s="1" t="s">
        <v>466</v>
      </c>
      <c r="J4" s="1" t="s">
        <v>52</v>
      </c>
      <c r="K4" s="1" t="s">
        <v>21</v>
      </c>
      <c r="L4" s="4" t="s">
        <v>506</v>
      </c>
      <c r="M4" s="4" t="s">
        <v>507</v>
      </c>
      <c r="N4" s="1" t="s">
        <v>505</v>
      </c>
      <c r="O4" s="1" t="s">
        <v>504</v>
      </c>
    </row>
    <row r="5" spans="1:15" x14ac:dyDescent="0.25">
      <c r="A5" s="1">
        <v>1001544</v>
      </c>
      <c r="B5" s="1" t="s">
        <v>589</v>
      </c>
      <c r="C5" s="1">
        <v>3000037818</v>
      </c>
      <c r="D5" s="2">
        <v>23400</v>
      </c>
      <c r="E5" s="1" t="s">
        <v>787</v>
      </c>
      <c r="F5" s="1">
        <v>5000277103</v>
      </c>
      <c r="G5" s="1" t="s">
        <v>39</v>
      </c>
      <c r="H5" s="3">
        <v>161.4</v>
      </c>
      <c r="I5" s="3">
        <v>167.54</v>
      </c>
      <c r="J5" s="3">
        <f t="shared" ref="J5:J26" si="0">I5-H5</f>
        <v>6.1399999999999864</v>
      </c>
      <c r="K5" s="3">
        <f t="shared" ref="K5:K26" si="1">J5*D5/325</f>
        <v>442.07999999999902</v>
      </c>
      <c r="L5" s="3">
        <v>319</v>
      </c>
      <c r="M5" s="1">
        <f t="shared" ref="M5:M26" si="2">H5*2</f>
        <v>322.8</v>
      </c>
      <c r="N5" s="3">
        <f t="shared" ref="N5:N26" si="3">M5-L5</f>
        <v>3.8000000000000114</v>
      </c>
      <c r="O5" s="127">
        <f t="shared" ref="O5:O26" si="4">N5/650*D5</f>
        <v>136.80000000000041</v>
      </c>
    </row>
    <row r="6" spans="1:15" x14ac:dyDescent="0.25">
      <c r="A6" s="1">
        <v>1001544</v>
      </c>
      <c r="B6" s="1" t="s">
        <v>589</v>
      </c>
      <c r="C6" s="1">
        <v>3000037818</v>
      </c>
      <c r="D6" s="2">
        <v>45500</v>
      </c>
      <c r="E6" s="1" t="s">
        <v>788</v>
      </c>
      <c r="F6" s="1">
        <v>5000276643</v>
      </c>
      <c r="G6" s="1" t="s">
        <v>39</v>
      </c>
      <c r="H6" s="3">
        <v>161.4</v>
      </c>
      <c r="I6" s="3">
        <v>167.54</v>
      </c>
      <c r="J6" s="3">
        <f t="shared" si="0"/>
        <v>6.1399999999999864</v>
      </c>
      <c r="K6" s="3">
        <f t="shared" si="1"/>
        <v>859.59999999999798</v>
      </c>
      <c r="L6" s="3">
        <v>319</v>
      </c>
      <c r="M6" s="1">
        <f t="shared" si="2"/>
        <v>322.8</v>
      </c>
      <c r="N6" s="3">
        <f t="shared" si="3"/>
        <v>3.8000000000000114</v>
      </c>
      <c r="O6" s="127">
        <f t="shared" si="4"/>
        <v>266.0000000000008</v>
      </c>
    </row>
    <row r="7" spans="1:15" x14ac:dyDescent="0.25">
      <c r="A7" s="1">
        <v>1001544</v>
      </c>
      <c r="B7" s="1" t="s">
        <v>589</v>
      </c>
      <c r="C7" s="1">
        <v>3000037818</v>
      </c>
      <c r="D7" s="2">
        <v>52000</v>
      </c>
      <c r="E7" s="1" t="s">
        <v>789</v>
      </c>
      <c r="F7" s="1">
        <v>5000276441</v>
      </c>
      <c r="G7" s="1" t="s">
        <v>39</v>
      </c>
      <c r="H7" s="3">
        <v>161.4</v>
      </c>
      <c r="I7" s="3">
        <v>167.54</v>
      </c>
      <c r="J7" s="3">
        <f t="shared" si="0"/>
        <v>6.1399999999999864</v>
      </c>
      <c r="K7" s="3">
        <f t="shared" si="1"/>
        <v>982.39999999999782</v>
      </c>
      <c r="L7" s="3">
        <v>319</v>
      </c>
      <c r="M7" s="1">
        <f t="shared" si="2"/>
        <v>322.8</v>
      </c>
      <c r="N7" s="3">
        <f t="shared" si="3"/>
        <v>3.8000000000000114</v>
      </c>
      <c r="O7" s="127">
        <f t="shared" si="4"/>
        <v>304.00000000000091</v>
      </c>
    </row>
    <row r="8" spans="1:15" x14ac:dyDescent="0.25">
      <c r="A8" s="1">
        <v>1002947</v>
      </c>
      <c r="B8" s="1" t="s">
        <v>474</v>
      </c>
      <c r="C8" s="1">
        <v>3000037846</v>
      </c>
      <c r="D8" s="2">
        <v>72050</v>
      </c>
      <c r="E8" s="1" t="s">
        <v>790</v>
      </c>
      <c r="F8" s="1">
        <v>5000279624</v>
      </c>
      <c r="G8" s="1" t="s">
        <v>39</v>
      </c>
      <c r="H8" s="3">
        <v>134.5</v>
      </c>
      <c r="I8" s="3">
        <v>139.41999999999999</v>
      </c>
      <c r="J8" s="3">
        <f t="shared" si="0"/>
        <v>4.9199999999999875</v>
      </c>
      <c r="K8" s="3">
        <f t="shared" si="1"/>
        <v>1090.7261538461512</v>
      </c>
      <c r="L8" s="3">
        <v>266</v>
      </c>
      <c r="M8" s="1">
        <f t="shared" si="2"/>
        <v>269</v>
      </c>
      <c r="N8" s="3">
        <f t="shared" si="3"/>
        <v>3</v>
      </c>
      <c r="O8" s="127">
        <f t="shared" si="4"/>
        <v>332.53846153846155</v>
      </c>
    </row>
    <row r="9" spans="1:15" x14ac:dyDescent="0.25">
      <c r="A9" s="1">
        <v>1002947</v>
      </c>
      <c r="B9" s="1" t="s">
        <v>474</v>
      </c>
      <c r="C9" s="1">
        <v>3000037846</v>
      </c>
      <c r="D9" s="2">
        <v>58550</v>
      </c>
      <c r="E9" s="1" t="s">
        <v>790</v>
      </c>
      <c r="F9" s="1">
        <v>5000279576</v>
      </c>
      <c r="G9" s="1" t="s">
        <v>39</v>
      </c>
      <c r="H9" s="3">
        <v>134.5</v>
      </c>
      <c r="I9" s="3">
        <v>139.41999999999999</v>
      </c>
      <c r="J9" s="3">
        <f t="shared" si="0"/>
        <v>4.9199999999999875</v>
      </c>
      <c r="K9" s="3">
        <f t="shared" si="1"/>
        <v>886.35692307692079</v>
      </c>
      <c r="L9" s="3">
        <v>266</v>
      </c>
      <c r="M9" s="1">
        <f t="shared" si="2"/>
        <v>269</v>
      </c>
      <c r="N9" s="3">
        <f t="shared" si="3"/>
        <v>3</v>
      </c>
      <c r="O9" s="127">
        <f t="shared" si="4"/>
        <v>270.23076923076928</v>
      </c>
    </row>
    <row r="10" spans="1:15" x14ac:dyDescent="0.25">
      <c r="A10" s="1">
        <v>1002947</v>
      </c>
      <c r="B10" s="1" t="s">
        <v>474</v>
      </c>
      <c r="C10" s="1">
        <v>3000037661</v>
      </c>
      <c r="D10" s="2">
        <v>32500</v>
      </c>
      <c r="E10" s="1" t="s">
        <v>790</v>
      </c>
      <c r="F10" s="1">
        <v>5000279624</v>
      </c>
      <c r="G10" s="1" t="s">
        <v>39</v>
      </c>
      <c r="H10" s="3">
        <v>134.5</v>
      </c>
      <c r="I10" s="3">
        <v>139.41999999999999</v>
      </c>
      <c r="J10" s="3">
        <f t="shared" si="0"/>
        <v>4.9199999999999875</v>
      </c>
      <c r="K10" s="3">
        <f t="shared" si="1"/>
        <v>491.99999999999875</v>
      </c>
      <c r="L10" s="3">
        <v>266</v>
      </c>
      <c r="M10" s="1">
        <f t="shared" si="2"/>
        <v>269</v>
      </c>
      <c r="N10" s="3">
        <f t="shared" si="3"/>
        <v>3</v>
      </c>
      <c r="O10" s="127">
        <f t="shared" si="4"/>
        <v>150</v>
      </c>
    </row>
    <row r="11" spans="1:15" x14ac:dyDescent="0.25">
      <c r="A11" s="1">
        <v>1002947</v>
      </c>
      <c r="B11" s="1" t="s">
        <v>474</v>
      </c>
      <c r="C11" s="1">
        <v>3000037661</v>
      </c>
      <c r="D11" s="2">
        <v>32500</v>
      </c>
      <c r="E11" s="1" t="s">
        <v>790</v>
      </c>
      <c r="F11" s="1">
        <v>5000279576</v>
      </c>
      <c r="G11" s="1" t="s">
        <v>39</v>
      </c>
      <c r="H11" s="3">
        <v>134.5</v>
      </c>
      <c r="I11" s="3">
        <v>139.41999999999999</v>
      </c>
      <c r="J11" s="3">
        <f t="shared" si="0"/>
        <v>4.9199999999999875</v>
      </c>
      <c r="K11" s="3">
        <f t="shared" si="1"/>
        <v>491.99999999999875</v>
      </c>
      <c r="L11" s="3">
        <v>266</v>
      </c>
      <c r="M11" s="1">
        <f t="shared" si="2"/>
        <v>269</v>
      </c>
      <c r="N11" s="3">
        <f t="shared" si="3"/>
        <v>3</v>
      </c>
      <c r="O11" s="127">
        <f t="shared" si="4"/>
        <v>150</v>
      </c>
    </row>
    <row r="12" spans="1:15" x14ac:dyDescent="0.25">
      <c r="A12" s="1">
        <v>1002947</v>
      </c>
      <c r="B12" s="1" t="s">
        <v>474</v>
      </c>
      <c r="C12" s="1">
        <v>3000037556</v>
      </c>
      <c r="D12" s="2">
        <v>28700</v>
      </c>
      <c r="E12" s="1" t="s">
        <v>790</v>
      </c>
      <c r="F12" s="1">
        <v>5000279624</v>
      </c>
      <c r="G12" s="1" t="s">
        <v>39</v>
      </c>
      <c r="H12" s="3">
        <v>134.5</v>
      </c>
      <c r="I12" s="3">
        <v>139.41999999999999</v>
      </c>
      <c r="J12" s="3">
        <f t="shared" si="0"/>
        <v>4.9199999999999875</v>
      </c>
      <c r="K12" s="3">
        <f t="shared" si="1"/>
        <v>434.4738461538451</v>
      </c>
      <c r="L12" s="3">
        <v>266</v>
      </c>
      <c r="M12" s="1">
        <f t="shared" si="2"/>
        <v>269</v>
      </c>
      <c r="N12" s="3">
        <f t="shared" si="3"/>
        <v>3</v>
      </c>
      <c r="O12" s="127">
        <f t="shared" si="4"/>
        <v>132.46153846153848</v>
      </c>
    </row>
    <row r="13" spans="1:15" x14ac:dyDescent="0.25">
      <c r="A13" s="1">
        <v>1002947</v>
      </c>
      <c r="B13" s="1" t="s">
        <v>474</v>
      </c>
      <c r="C13" s="1">
        <v>3000037556</v>
      </c>
      <c r="D13" s="2">
        <v>28700</v>
      </c>
      <c r="E13" s="1" t="s">
        <v>790</v>
      </c>
      <c r="F13" s="1">
        <v>5000279576</v>
      </c>
      <c r="G13" s="1" t="s">
        <v>39</v>
      </c>
      <c r="H13" s="3">
        <v>134.5</v>
      </c>
      <c r="I13" s="3">
        <v>139.41999999999999</v>
      </c>
      <c r="J13" s="3">
        <f t="shared" si="0"/>
        <v>4.9199999999999875</v>
      </c>
      <c r="K13" s="3">
        <f t="shared" si="1"/>
        <v>434.4738461538451</v>
      </c>
      <c r="L13" s="3">
        <v>266</v>
      </c>
      <c r="M13" s="1">
        <f t="shared" si="2"/>
        <v>269</v>
      </c>
      <c r="N13" s="3">
        <f t="shared" si="3"/>
        <v>3</v>
      </c>
      <c r="O13" s="127">
        <f t="shared" si="4"/>
        <v>132.46153846153848</v>
      </c>
    </row>
    <row r="14" spans="1:15" x14ac:dyDescent="0.25">
      <c r="A14" s="1">
        <v>1002947</v>
      </c>
      <c r="B14" s="1" t="s">
        <v>474</v>
      </c>
      <c r="C14" s="1">
        <v>3000038551</v>
      </c>
      <c r="D14" s="2">
        <v>54925</v>
      </c>
      <c r="E14" s="1" t="s">
        <v>791</v>
      </c>
      <c r="F14" s="1">
        <v>5000279170</v>
      </c>
      <c r="G14" s="1" t="s">
        <v>39</v>
      </c>
      <c r="H14" s="3">
        <v>134.5</v>
      </c>
      <c r="I14" s="3">
        <v>139.41999999999999</v>
      </c>
      <c r="J14" s="3">
        <f t="shared" si="0"/>
        <v>4.9199999999999875</v>
      </c>
      <c r="K14" s="3">
        <f t="shared" si="1"/>
        <v>831.47999999999786</v>
      </c>
      <c r="L14" s="3">
        <v>266</v>
      </c>
      <c r="M14" s="1">
        <f t="shared" si="2"/>
        <v>269</v>
      </c>
      <c r="N14" s="3">
        <f t="shared" si="3"/>
        <v>3</v>
      </c>
      <c r="O14" s="127">
        <f t="shared" si="4"/>
        <v>253.50000000000003</v>
      </c>
    </row>
    <row r="15" spans="1:15" x14ac:dyDescent="0.25">
      <c r="A15" s="1">
        <v>1002947</v>
      </c>
      <c r="B15" s="1" t="s">
        <v>474</v>
      </c>
      <c r="C15" s="1">
        <v>3000037591</v>
      </c>
      <c r="D15" s="2">
        <v>23075</v>
      </c>
      <c r="E15" s="1" t="s">
        <v>791</v>
      </c>
      <c r="F15" s="1">
        <v>5000279170</v>
      </c>
      <c r="G15" s="1" t="s">
        <v>39</v>
      </c>
      <c r="H15" s="3">
        <v>134.5</v>
      </c>
      <c r="I15" s="3">
        <v>139.41999999999999</v>
      </c>
      <c r="J15" s="3">
        <f t="shared" si="0"/>
        <v>4.9199999999999875</v>
      </c>
      <c r="K15" s="3">
        <f t="shared" si="1"/>
        <v>349.31999999999908</v>
      </c>
      <c r="L15" s="3">
        <v>266</v>
      </c>
      <c r="M15" s="1">
        <f t="shared" si="2"/>
        <v>269</v>
      </c>
      <c r="N15" s="3">
        <f t="shared" si="3"/>
        <v>3</v>
      </c>
      <c r="O15" s="127">
        <f t="shared" si="4"/>
        <v>106.50000000000001</v>
      </c>
    </row>
    <row r="16" spans="1:15" x14ac:dyDescent="0.25">
      <c r="A16" s="1">
        <v>1003043</v>
      </c>
      <c r="B16" s="1" t="s">
        <v>543</v>
      </c>
      <c r="C16" s="1">
        <v>3000038646</v>
      </c>
      <c r="D16" s="2">
        <v>103350</v>
      </c>
      <c r="E16" s="1" t="s">
        <v>792</v>
      </c>
      <c r="F16" s="1">
        <v>5000277746</v>
      </c>
      <c r="G16" s="1" t="s">
        <v>39</v>
      </c>
      <c r="H16" s="3">
        <v>161.4</v>
      </c>
      <c r="I16" s="3">
        <v>167.54</v>
      </c>
      <c r="J16" s="3">
        <f t="shared" si="0"/>
        <v>6.1399999999999864</v>
      </c>
      <c r="K16" s="3">
        <f t="shared" si="1"/>
        <v>1952.5199999999957</v>
      </c>
      <c r="L16" s="3">
        <v>319</v>
      </c>
      <c r="M16" s="1">
        <f t="shared" si="2"/>
        <v>322.8</v>
      </c>
      <c r="N16" s="3">
        <f t="shared" si="3"/>
        <v>3.8000000000000114</v>
      </c>
      <c r="O16" s="127">
        <f t="shared" si="4"/>
        <v>604.20000000000186</v>
      </c>
    </row>
    <row r="17" spans="1:15" x14ac:dyDescent="0.25">
      <c r="A17" s="1">
        <v>1003153</v>
      </c>
      <c r="B17" s="1" t="s">
        <v>793</v>
      </c>
      <c r="C17" s="1">
        <v>3000038041</v>
      </c>
      <c r="D17" s="2">
        <v>28600</v>
      </c>
      <c r="E17" s="1" t="s">
        <v>791</v>
      </c>
      <c r="F17" s="1">
        <v>5000279170</v>
      </c>
      <c r="G17" s="1" t="s">
        <v>39</v>
      </c>
      <c r="H17" s="3">
        <v>134.5</v>
      </c>
      <c r="I17" s="3">
        <v>139.41999999999999</v>
      </c>
      <c r="J17" s="3">
        <f t="shared" si="0"/>
        <v>4.9199999999999875</v>
      </c>
      <c r="K17" s="3">
        <f t="shared" si="1"/>
        <v>432.9599999999989</v>
      </c>
      <c r="L17" s="3">
        <v>266</v>
      </c>
      <c r="M17" s="1">
        <f t="shared" si="2"/>
        <v>269</v>
      </c>
      <c r="N17" s="3">
        <f t="shared" si="3"/>
        <v>3</v>
      </c>
      <c r="O17" s="127">
        <f t="shared" si="4"/>
        <v>132</v>
      </c>
    </row>
    <row r="18" spans="1:15" x14ac:dyDescent="0.25">
      <c r="A18" s="1">
        <v>1003153</v>
      </c>
      <c r="B18" s="1" t="s">
        <v>793</v>
      </c>
      <c r="C18" s="1">
        <v>3000038551</v>
      </c>
      <c r="D18" s="2">
        <v>46800</v>
      </c>
      <c r="E18" s="1" t="s">
        <v>794</v>
      </c>
      <c r="F18" s="1">
        <v>5000278755</v>
      </c>
      <c r="G18" s="1" t="s">
        <v>39</v>
      </c>
      <c r="H18" s="3">
        <v>134.5</v>
      </c>
      <c r="I18" s="3">
        <v>139.41999999999999</v>
      </c>
      <c r="J18" s="3">
        <f t="shared" si="0"/>
        <v>4.9199999999999875</v>
      </c>
      <c r="K18" s="3">
        <f t="shared" si="1"/>
        <v>708.4799999999982</v>
      </c>
      <c r="L18" s="3">
        <v>266</v>
      </c>
      <c r="M18" s="1">
        <f t="shared" si="2"/>
        <v>269</v>
      </c>
      <c r="N18" s="3">
        <f t="shared" si="3"/>
        <v>3</v>
      </c>
      <c r="O18" s="127">
        <f t="shared" si="4"/>
        <v>216.00000000000003</v>
      </c>
    </row>
    <row r="19" spans="1:15" x14ac:dyDescent="0.25">
      <c r="A19" s="1">
        <v>1003154</v>
      </c>
      <c r="B19" s="1" t="s">
        <v>795</v>
      </c>
      <c r="C19" s="1">
        <v>3000038551</v>
      </c>
      <c r="D19" s="2">
        <v>46800</v>
      </c>
      <c r="E19" s="1" t="s">
        <v>796</v>
      </c>
      <c r="F19" s="1">
        <v>5000281436</v>
      </c>
      <c r="G19" s="1" t="s">
        <v>39</v>
      </c>
      <c r="H19" s="3">
        <v>134.5</v>
      </c>
      <c r="I19" s="3">
        <v>139.41999999999999</v>
      </c>
      <c r="J19" s="3">
        <f t="shared" si="0"/>
        <v>4.9199999999999875</v>
      </c>
      <c r="K19" s="3">
        <f t="shared" si="1"/>
        <v>708.4799999999982</v>
      </c>
      <c r="L19" s="3">
        <v>266</v>
      </c>
      <c r="M19" s="1">
        <f t="shared" si="2"/>
        <v>269</v>
      </c>
      <c r="N19" s="3">
        <f t="shared" si="3"/>
        <v>3</v>
      </c>
      <c r="O19" s="127">
        <f t="shared" si="4"/>
        <v>216.00000000000003</v>
      </c>
    </row>
    <row r="20" spans="1:15" x14ac:dyDescent="0.25">
      <c r="A20" s="1">
        <v>1003154</v>
      </c>
      <c r="B20" s="1" t="s">
        <v>795</v>
      </c>
      <c r="C20" s="1">
        <v>3000038608</v>
      </c>
      <c r="D20" s="2">
        <v>32500</v>
      </c>
      <c r="E20" s="1" t="s">
        <v>796</v>
      </c>
      <c r="F20" s="1">
        <v>5000281436</v>
      </c>
      <c r="G20" s="1" t="s">
        <v>39</v>
      </c>
      <c r="H20" s="3">
        <v>134.5</v>
      </c>
      <c r="I20" s="3">
        <v>139.41999999999999</v>
      </c>
      <c r="J20" s="3">
        <f t="shared" si="0"/>
        <v>4.9199999999999875</v>
      </c>
      <c r="K20" s="3">
        <f t="shared" si="1"/>
        <v>491.99999999999875</v>
      </c>
      <c r="L20" s="3">
        <v>266</v>
      </c>
      <c r="M20" s="1">
        <f t="shared" si="2"/>
        <v>269</v>
      </c>
      <c r="N20" s="3">
        <f t="shared" si="3"/>
        <v>3</v>
      </c>
      <c r="O20" s="127">
        <f t="shared" si="4"/>
        <v>150</v>
      </c>
    </row>
    <row r="21" spans="1:15" x14ac:dyDescent="0.25">
      <c r="A21" s="1">
        <v>1003159</v>
      </c>
      <c r="B21" s="1" t="s">
        <v>797</v>
      </c>
      <c r="C21" s="1">
        <v>3000038551</v>
      </c>
      <c r="D21" s="2">
        <v>195650</v>
      </c>
      <c r="E21" s="1" t="s">
        <v>796</v>
      </c>
      <c r="F21" s="1">
        <v>5000281436</v>
      </c>
      <c r="G21" s="1" t="s">
        <v>39</v>
      </c>
      <c r="H21" s="3">
        <v>134.5</v>
      </c>
      <c r="I21" s="3">
        <v>139.41999999999999</v>
      </c>
      <c r="J21" s="3">
        <f t="shared" si="0"/>
        <v>4.9199999999999875</v>
      </c>
      <c r="K21" s="3">
        <f t="shared" si="1"/>
        <v>2961.8399999999924</v>
      </c>
      <c r="L21" s="3">
        <v>266</v>
      </c>
      <c r="M21" s="1">
        <f t="shared" si="2"/>
        <v>269</v>
      </c>
      <c r="N21" s="3">
        <f t="shared" si="3"/>
        <v>3</v>
      </c>
      <c r="O21" s="127">
        <f t="shared" si="4"/>
        <v>903.00000000000011</v>
      </c>
    </row>
    <row r="22" spans="1:15" x14ac:dyDescent="0.25">
      <c r="A22" s="1">
        <v>1003159</v>
      </c>
      <c r="B22" s="1" t="s">
        <v>797</v>
      </c>
      <c r="C22" s="1">
        <v>3000038551</v>
      </c>
      <c r="D22" s="2">
        <v>136500</v>
      </c>
      <c r="E22" s="1" t="s">
        <v>794</v>
      </c>
      <c r="F22" s="1">
        <v>5000278755</v>
      </c>
      <c r="G22" s="1" t="s">
        <v>39</v>
      </c>
      <c r="H22" s="3">
        <v>134.5</v>
      </c>
      <c r="I22" s="3">
        <v>139.41999999999999</v>
      </c>
      <c r="J22" s="3">
        <f t="shared" si="0"/>
        <v>4.9199999999999875</v>
      </c>
      <c r="K22" s="3">
        <f t="shared" si="1"/>
        <v>2066.3999999999946</v>
      </c>
      <c r="L22" s="3">
        <v>266</v>
      </c>
      <c r="M22" s="1">
        <f t="shared" si="2"/>
        <v>269</v>
      </c>
      <c r="N22" s="3">
        <f t="shared" si="3"/>
        <v>3</v>
      </c>
      <c r="O22" s="127">
        <f t="shared" si="4"/>
        <v>630.00000000000011</v>
      </c>
    </row>
    <row r="23" spans="1:15" x14ac:dyDescent="0.25">
      <c r="A23" s="1">
        <v>1003254</v>
      </c>
      <c r="B23" s="1" t="s">
        <v>798</v>
      </c>
      <c r="C23" s="1">
        <v>3000038551</v>
      </c>
      <c r="D23" s="2">
        <v>7800</v>
      </c>
      <c r="E23" s="1" t="s">
        <v>788</v>
      </c>
      <c r="F23" s="1">
        <v>5000276643</v>
      </c>
      <c r="G23" s="1" t="s">
        <v>39</v>
      </c>
      <c r="H23" s="3">
        <v>161.4</v>
      </c>
      <c r="I23" s="3">
        <v>167.54</v>
      </c>
      <c r="J23" s="3">
        <f t="shared" si="0"/>
        <v>6.1399999999999864</v>
      </c>
      <c r="K23" s="3">
        <f t="shared" si="1"/>
        <v>147.35999999999967</v>
      </c>
      <c r="L23" s="3">
        <v>319</v>
      </c>
      <c r="M23" s="1">
        <f t="shared" si="2"/>
        <v>322.8</v>
      </c>
      <c r="N23" s="3">
        <f t="shared" si="3"/>
        <v>3.8000000000000114</v>
      </c>
      <c r="O23" s="127">
        <f t="shared" si="4"/>
        <v>45.600000000000136</v>
      </c>
    </row>
    <row r="24" spans="1:15" x14ac:dyDescent="0.25">
      <c r="A24" s="1">
        <v>1003254</v>
      </c>
      <c r="B24" s="1" t="s">
        <v>798</v>
      </c>
      <c r="C24" s="1">
        <v>3000038551</v>
      </c>
      <c r="D24" s="2">
        <v>24000</v>
      </c>
      <c r="E24" s="1" t="s">
        <v>789</v>
      </c>
      <c r="F24" s="1">
        <v>5000276441</v>
      </c>
      <c r="G24" s="1" t="s">
        <v>39</v>
      </c>
      <c r="H24" s="3">
        <v>161.4</v>
      </c>
      <c r="I24" s="3">
        <v>167.54</v>
      </c>
      <c r="J24" s="3">
        <f t="shared" si="0"/>
        <v>6.1399999999999864</v>
      </c>
      <c r="K24" s="3">
        <f t="shared" si="1"/>
        <v>453.41538461538363</v>
      </c>
      <c r="L24" s="3">
        <v>319</v>
      </c>
      <c r="M24" s="1">
        <f t="shared" si="2"/>
        <v>322.8</v>
      </c>
      <c r="N24" s="3">
        <f t="shared" si="3"/>
        <v>3.8000000000000114</v>
      </c>
      <c r="O24" s="127">
        <f t="shared" si="4"/>
        <v>140.30769230769272</v>
      </c>
    </row>
    <row r="25" spans="1:15" x14ac:dyDescent="0.25">
      <c r="A25" s="1">
        <v>1003254</v>
      </c>
      <c r="B25" s="1" t="s">
        <v>798</v>
      </c>
      <c r="C25" s="1">
        <v>3000038608</v>
      </c>
      <c r="D25" s="2">
        <v>48000</v>
      </c>
      <c r="E25" s="1" t="s">
        <v>789</v>
      </c>
      <c r="F25" s="1">
        <v>5000276441</v>
      </c>
      <c r="G25" s="1" t="s">
        <v>39</v>
      </c>
      <c r="H25" s="3">
        <v>161.4</v>
      </c>
      <c r="I25" s="3">
        <v>167.54</v>
      </c>
      <c r="J25" s="3">
        <f t="shared" si="0"/>
        <v>6.1399999999999864</v>
      </c>
      <c r="K25" s="3">
        <f t="shared" si="1"/>
        <v>906.83076923076726</v>
      </c>
      <c r="L25" s="3">
        <v>319</v>
      </c>
      <c r="M25" s="1">
        <f t="shared" si="2"/>
        <v>322.8</v>
      </c>
      <c r="N25" s="3">
        <f t="shared" si="3"/>
        <v>3.8000000000000114</v>
      </c>
      <c r="O25" s="127">
        <f t="shared" si="4"/>
        <v>280.61538461538544</v>
      </c>
    </row>
    <row r="26" spans="1:15" x14ac:dyDescent="0.25">
      <c r="A26" s="1">
        <v>1003254</v>
      </c>
      <c r="B26" s="1" t="s">
        <v>798</v>
      </c>
      <c r="C26" s="1">
        <v>3000038608</v>
      </c>
      <c r="D26" s="2">
        <v>45000</v>
      </c>
      <c r="E26" s="1" t="s">
        <v>789</v>
      </c>
      <c r="F26" s="1">
        <v>5000276441</v>
      </c>
      <c r="G26" s="1" t="s">
        <v>39</v>
      </c>
      <c r="H26" s="3">
        <v>161.4</v>
      </c>
      <c r="I26" s="3">
        <v>167.54</v>
      </c>
      <c r="J26" s="3">
        <f t="shared" si="0"/>
        <v>6.1399999999999864</v>
      </c>
      <c r="K26" s="3">
        <f t="shared" si="1"/>
        <v>850.15384615384414</v>
      </c>
      <c r="L26" s="3">
        <v>319</v>
      </c>
      <c r="M26" s="1">
        <f t="shared" si="2"/>
        <v>322.8</v>
      </c>
      <c r="N26" s="3">
        <f t="shared" si="3"/>
        <v>3.8000000000000114</v>
      </c>
      <c r="O26" s="127">
        <f t="shared" si="4"/>
        <v>263.07692307692389</v>
      </c>
    </row>
    <row r="27" spans="1:15" x14ac:dyDescent="0.25">
      <c r="A27" s="1"/>
      <c r="B27" s="1"/>
      <c r="C27" s="1"/>
      <c r="D27" s="2">
        <f>SUM(D5:D26)</f>
        <v>1166900</v>
      </c>
      <c r="E27" s="1"/>
      <c r="F27" s="1"/>
      <c r="G27" s="1"/>
      <c r="H27" s="1"/>
      <c r="I27" s="1"/>
      <c r="J27" s="1"/>
      <c r="K27" s="1"/>
      <c r="L27" s="4"/>
      <c r="M27" s="4"/>
      <c r="N27" s="1"/>
      <c r="O27" s="127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5" t="s">
        <v>58</v>
      </c>
      <c r="O28" s="128">
        <f>SUM(O5:O26)</f>
        <v>5815.2923076923144</v>
      </c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1"/>
      <c r="O29" s="127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2" spans="1:15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</row>
    <row r="33" spans="1:14" x14ac:dyDescent="0.25">
      <c r="A33" s="1" t="s">
        <v>669</v>
      </c>
      <c r="B33" s="1"/>
      <c r="C33" s="1"/>
      <c r="D33" s="2"/>
      <c r="E33" s="1"/>
      <c r="F33" s="1"/>
      <c r="G33" s="1"/>
      <c r="H33" s="1"/>
      <c r="I33" s="1"/>
      <c r="J33" s="1"/>
    </row>
    <row r="34" spans="1:14" x14ac:dyDescent="0.25">
      <c r="A34" s="1"/>
      <c r="B34" s="1"/>
      <c r="C34" s="1"/>
      <c r="D34" s="1"/>
      <c r="E34" s="1"/>
      <c r="F34" s="1"/>
      <c r="G34" s="199" t="s">
        <v>603</v>
      </c>
      <c r="H34" s="199"/>
      <c r="I34" s="199"/>
      <c r="J34" s="199"/>
      <c r="K34" s="199" t="s">
        <v>604</v>
      </c>
      <c r="L34" s="199"/>
      <c r="M34" s="199"/>
      <c r="N34" s="199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 t="s">
        <v>438</v>
      </c>
      <c r="B36" s="1" t="s">
        <v>439</v>
      </c>
      <c r="C36" s="1" t="s">
        <v>172</v>
      </c>
      <c r="D36" s="1" t="s">
        <v>22</v>
      </c>
      <c r="E36" s="1" t="s">
        <v>594</v>
      </c>
      <c r="F36" s="1" t="s">
        <v>172</v>
      </c>
      <c r="G36" s="1" t="s">
        <v>601</v>
      </c>
      <c r="H36" s="1" t="s">
        <v>210</v>
      </c>
      <c r="I36" s="1" t="s">
        <v>602</v>
      </c>
      <c r="J36" s="1" t="s">
        <v>443</v>
      </c>
      <c r="K36" s="1" t="s">
        <v>601</v>
      </c>
      <c r="L36" s="1" t="s">
        <v>210</v>
      </c>
      <c r="M36" s="1" t="s">
        <v>602</v>
      </c>
      <c r="N36" s="1" t="s">
        <v>443</v>
      </c>
    </row>
    <row r="37" spans="1:14" x14ac:dyDescent="0.25">
      <c r="A37" s="1">
        <v>1001533</v>
      </c>
      <c r="B37" s="1" t="s">
        <v>799</v>
      </c>
      <c r="C37" s="1">
        <v>5000278529</v>
      </c>
      <c r="D37" s="2">
        <v>12500</v>
      </c>
      <c r="E37" s="1" t="s">
        <v>800</v>
      </c>
      <c r="F37" s="2"/>
      <c r="G37" s="1">
        <v>530</v>
      </c>
      <c r="H37" s="2">
        <v>880</v>
      </c>
      <c r="I37" s="2">
        <f>H37-G37</f>
        <v>350</v>
      </c>
      <c r="J37" s="1">
        <f>I37/1000*D37</f>
        <v>4375</v>
      </c>
      <c r="K37" s="1"/>
      <c r="L37" s="1"/>
      <c r="M37" s="1"/>
      <c r="N37" s="1"/>
    </row>
    <row r="38" spans="1:14" x14ac:dyDescent="0.25">
      <c r="A38" s="1">
        <v>1002398</v>
      </c>
      <c r="B38" s="1" t="s">
        <v>801</v>
      </c>
      <c r="C38" s="1">
        <v>5000275980</v>
      </c>
      <c r="D38" s="2">
        <v>10000</v>
      </c>
      <c r="E38" s="1" t="s">
        <v>802</v>
      </c>
      <c r="F38" s="1"/>
      <c r="G38" s="1">
        <v>490</v>
      </c>
      <c r="H38" s="2">
        <v>610</v>
      </c>
      <c r="I38" s="2">
        <f>H38-G38</f>
        <v>120</v>
      </c>
      <c r="J38" s="1">
        <f>I38/1000*D38</f>
        <v>1200</v>
      </c>
      <c r="K38" s="1"/>
      <c r="L38" s="1"/>
      <c r="M38" s="1"/>
      <c r="N38" s="1"/>
    </row>
    <row r="39" spans="1:14" x14ac:dyDescent="0.25">
      <c r="A39" s="1">
        <v>1002398</v>
      </c>
      <c r="B39" s="1" t="s">
        <v>801</v>
      </c>
      <c r="C39" s="1">
        <v>5000275980</v>
      </c>
      <c r="D39" s="1">
        <v>500</v>
      </c>
      <c r="E39" s="1" t="s">
        <v>802</v>
      </c>
      <c r="F39" s="1"/>
      <c r="G39" s="1">
        <v>490</v>
      </c>
      <c r="H39" s="2">
        <v>610</v>
      </c>
      <c r="I39" s="2">
        <f>H39-G39</f>
        <v>120</v>
      </c>
      <c r="J39" s="1">
        <f>I39/1000*D39</f>
        <v>60</v>
      </c>
      <c r="K39" s="1"/>
      <c r="L39" s="1"/>
      <c r="M39" s="1"/>
      <c r="N39" s="1"/>
    </row>
    <row r="40" spans="1:14" x14ac:dyDescent="0.25">
      <c r="A40" s="1">
        <v>1003046</v>
      </c>
      <c r="B40" s="1" t="s">
        <v>555</v>
      </c>
      <c r="C40" s="1">
        <v>5000278529</v>
      </c>
      <c r="D40" s="2">
        <v>3470</v>
      </c>
      <c r="E40" s="1" t="s">
        <v>800</v>
      </c>
      <c r="F40" s="2"/>
      <c r="G40" s="1">
        <v>500</v>
      </c>
      <c r="H40" s="1">
        <v>850</v>
      </c>
      <c r="I40" s="1">
        <f t="shared" ref="I40:I41" si="5">H40-G40</f>
        <v>350</v>
      </c>
      <c r="J40" s="1">
        <f t="shared" ref="J40:J41" si="6">I40*D40/1000</f>
        <v>1214.5</v>
      </c>
      <c r="K40" s="4">
        <v>460</v>
      </c>
      <c r="L40" s="4">
        <v>500</v>
      </c>
      <c r="M40" s="1">
        <f t="shared" ref="M40:M41" si="7">L40-K40</f>
        <v>40</v>
      </c>
      <c r="N40" s="1">
        <f t="shared" ref="N40:N41" si="8">M40*D40/1000</f>
        <v>138.80000000000001</v>
      </c>
    </row>
    <row r="41" spans="1:14" x14ac:dyDescent="0.25">
      <c r="A41" s="1">
        <v>1003216</v>
      </c>
      <c r="B41" s="1" t="s">
        <v>748</v>
      </c>
      <c r="C41" s="1">
        <v>5000278529</v>
      </c>
      <c r="D41" s="2">
        <v>15000</v>
      </c>
      <c r="E41" s="1" t="s">
        <v>800</v>
      </c>
      <c r="F41" s="2"/>
      <c r="G41" s="2">
        <v>620</v>
      </c>
      <c r="H41" s="1">
        <v>850</v>
      </c>
      <c r="I41" s="2">
        <f t="shared" si="5"/>
        <v>230</v>
      </c>
      <c r="J41" s="1">
        <f t="shared" si="6"/>
        <v>3450</v>
      </c>
      <c r="K41" s="1">
        <v>490</v>
      </c>
      <c r="L41" s="1">
        <v>620</v>
      </c>
      <c r="M41" s="1">
        <f t="shared" si="7"/>
        <v>130</v>
      </c>
      <c r="N41" s="1">
        <f t="shared" si="8"/>
        <v>1950</v>
      </c>
    </row>
    <row r="42" spans="1:14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2">
        <f>SUM(D37:D42)</f>
        <v>41470</v>
      </c>
      <c r="E43" s="1"/>
      <c r="F43" s="1"/>
      <c r="G43" s="1"/>
      <c r="H43" s="1"/>
      <c r="I43" s="1"/>
      <c r="J43" s="5">
        <f>SUM(J37:J41)</f>
        <v>10299.5</v>
      </c>
      <c r="K43" s="1"/>
      <c r="L43" s="1"/>
      <c r="M43" s="1"/>
      <c r="N43" s="5">
        <f>SUM(N37:N41)</f>
        <v>2088.8000000000002</v>
      </c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26" t="s">
        <v>58</v>
      </c>
      <c r="K45" s="5">
        <f>J43+N43</f>
        <v>12388.3</v>
      </c>
      <c r="L45" s="1"/>
      <c r="M45" s="1"/>
      <c r="N45" s="1"/>
    </row>
    <row r="46" spans="1:14" x14ac:dyDescent="0.25">
      <c r="A46" s="8"/>
      <c r="B46" s="8"/>
      <c r="C46" s="8"/>
      <c r="D46" s="8"/>
      <c r="E46" s="8"/>
      <c r="F46" s="8"/>
      <c r="G46" s="1"/>
      <c r="H46" s="1"/>
      <c r="I46" s="1"/>
      <c r="J46" s="26"/>
      <c r="K46" s="5"/>
      <c r="L46" s="1"/>
      <c r="M46" s="1"/>
      <c r="N46" s="1"/>
    </row>
    <row r="47" spans="1:14" x14ac:dyDescent="0.25">
      <c r="A47" s="8"/>
      <c r="B47" s="8"/>
      <c r="C47" s="8"/>
      <c r="D47" s="8"/>
      <c r="E47" s="8"/>
      <c r="F47" s="8"/>
      <c r="G47" s="199" t="s">
        <v>603</v>
      </c>
      <c r="H47" s="199"/>
      <c r="I47" s="199"/>
      <c r="J47" s="199"/>
      <c r="K47" s="199" t="s">
        <v>803</v>
      </c>
      <c r="L47" s="199"/>
      <c r="M47" s="199"/>
      <c r="N47" s="199"/>
    </row>
    <row r="48" spans="1:14" x14ac:dyDescent="0.25">
      <c r="A48" s="1" t="s">
        <v>438</v>
      </c>
      <c r="B48" s="1" t="s">
        <v>439</v>
      </c>
      <c r="C48" s="1" t="s">
        <v>172</v>
      </c>
      <c r="D48" s="1" t="s">
        <v>22</v>
      </c>
      <c r="E48" s="1" t="s">
        <v>594</v>
      </c>
      <c r="F48" s="1" t="s">
        <v>172</v>
      </c>
      <c r="G48" s="1" t="s">
        <v>804</v>
      </c>
      <c r="H48" s="1" t="s">
        <v>210</v>
      </c>
      <c r="I48" s="1" t="s">
        <v>602</v>
      </c>
      <c r="J48" s="1" t="s">
        <v>443</v>
      </c>
      <c r="K48" s="1" t="s">
        <v>805</v>
      </c>
      <c r="L48" s="1" t="s">
        <v>804</v>
      </c>
      <c r="M48" s="1" t="s">
        <v>602</v>
      </c>
      <c r="N48" s="1" t="s">
        <v>443</v>
      </c>
    </row>
    <row r="49" spans="1:14" x14ac:dyDescent="0.25">
      <c r="A49" s="1" t="s">
        <v>806</v>
      </c>
      <c r="B49" s="1" t="s">
        <v>211</v>
      </c>
      <c r="C49" s="1">
        <v>5000277553</v>
      </c>
      <c r="D49" s="1">
        <v>507.4</v>
      </c>
      <c r="E49" s="1" t="s">
        <v>806</v>
      </c>
      <c r="F49" s="1"/>
      <c r="G49" s="1">
        <v>128.80000000000001</v>
      </c>
      <c r="H49" s="1">
        <v>134.6</v>
      </c>
      <c r="I49" s="1">
        <f>H49-G49</f>
        <v>5.7999999999999829</v>
      </c>
      <c r="J49" s="1">
        <f>I49*D49</f>
        <v>2942.9199999999914</v>
      </c>
      <c r="K49" s="1">
        <v>132.30000000000001</v>
      </c>
      <c r="L49" s="1">
        <v>128.80000000000001</v>
      </c>
      <c r="M49" s="1">
        <f>K49-L49</f>
        <v>3.5</v>
      </c>
      <c r="N49" s="1">
        <f>M49*D49</f>
        <v>1775.8999999999999</v>
      </c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5" t="s">
        <v>58</v>
      </c>
      <c r="K52" s="5">
        <f>J49+N49</f>
        <v>4718.8199999999915</v>
      </c>
      <c r="L52" s="1"/>
      <c r="M52" s="1"/>
      <c r="N52" s="1"/>
    </row>
    <row r="53" spans="1:14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5" spans="1:14" x14ac:dyDescent="0.25">
      <c r="A55" t="s">
        <v>678</v>
      </c>
    </row>
    <row r="56" spans="1:14" x14ac:dyDescent="0.25">
      <c r="A56" s="1" t="s">
        <v>438</v>
      </c>
      <c r="B56" s="1" t="s">
        <v>439</v>
      </c>
      <c r="C56" s="1"/>
      <c r="D56" s="1" t="s">
        <v>22</v>
      </c>
      <c r="E56" s="1" t="s">
        <v>594</v>
      </c>
      <c r="F56" s="1" t="s">
        <v>172</v>
      </c>
      <c r="G56" s="1" t="s">
        <v>679</v>
      </c>
      <c r="H56" s="1" t="s">
        <v>601</v>
      </c>
      <c r="I56" s="1" t="s">
        <v>210</v>
      </c>
      <c r="J56" s="1" t="s">
        <v>602</v>
      </c>
      <c r="K56" s="1" t="s">
        <v>443</v>
      </c>
    </row>
    <row r="57" spans="1:14" x14ac:dyDescent="0.25">
      <c r="A57" s="1">
        <v>1001841</v>
      </c>
      <c r="B57" s="1" t="s">
        <v>807</v>
      </c>
      <c r="C57" s="1">
        <v>3000035365</v>
      </c>
      <c r="D57" s="2">
        <v>165200</v>
      </c>
      <c r="E57" s="1" t="s">
        <v>808</v>
      </c>
      <c r="F57" s="1">
        <v>5000277013</v>
      </c>
      <c r="G57" s="1" t="s">
        <v>0</v>
      </c>
      <c r="H57" s="2">
        <v>846.8</v>
      </c>
      <c r="I57" s="1">
        <v>854</v>
      </c>
      <c r="J57" s="2">
        <f>I57-H57</f>
        <v>7.2000000000000455</v>
      </c>
      <c r="K57" s="1">
        <f>J57*D57/1000</f>
        <v>1189.4400000000076</v>
      </c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5" t="s">
        <v>283</v>
      </c>
      <c r="K60" s="5">
        <f>K57</f>
        <v>1189.4400000000076</v>
      </c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5" spans="1:11" x14ac:dyDescent="0.25">
      <c r="A65" s="5" t="s">
        <v>753</v>
      </c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5" t="s">
        <v>765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 t="s">
        <v>763</v>
      </c>
      <c r="I67" s="1" t="s">
        <v>764</v>
      </c>
      <c r="J67" s="1" t="s">
        <v>52</v>
      </c>
      <c r="K67" s="1" t="s">
        <v>21</v>
      </c>
    </row>
    <row r="68" spans="1:11" x14ac:dyDescent="0.25">
      <c r="A68" s="1" t="s">
        <v>438</v>
      </c>
      <c r="B68" s="1" t="s">
        <v>439</v>
      </c>
      <c r="C68" s="1"/>
      <c r="D68" s="1" t="s">
        <v>22</v>
      </c>
      <c r="E68" s="1" t="s">
        <v>594</v>
      </c>
      <c r="F68" s="1" t="s">
        <v>172</v>
      </c>
      <c r="G68" s="1" t="s">
        <v>679</v>
      </c>
      <c r="H68" s="1" t="s">
        <v>601</v>
      </c>
      <c r="I68" s="1" t="s">
        <v>210</v>
      </c>
      <c r="J68" s="1" t="s">
        <v>602</v>
      </c>
      <c r="K68" s="1" t="s">
        <v>443</v>
      </c>
    </row>
    <row r="69" spans="1:11" x14ac:dyDescent="0.25">
      <c r="A69" s="1">
        <v>1000595</v>
      </c>
      <c r="B69" s="1" t="s">
        <v>756</v>
      </c>
      <c r="C69" s="1">
        <v>3000038481</v>
      </c>
      <c r="D69" s="1">
        <v>842</v>
      </c>
      <c r="E69" s="1" t="s">
        <v>809</v>
      </c>
      <c r="F69" s="1">
        <v>5000277979</v>
      </c>
      <c r="G69" s="1"/>
      <c r="H69" s="3">
        <v>178.2</v>
      </c>
      <c r="I69" s="1">
        <v>181.32</v>
      </c>
      <c r="J69" s="3">
        <f t="shared" ref="J69:J104" si="9">I69-H69</f>
        <v>3.1200000000000045</v>
      </c>
      <c r="K69" s="127">
        <f>J69*D69</f>
        <v>2627.0400000000036</v>
      </c>
    </row>
    <row r="70" spans="1:11" x14ac:dyDescent="0.25">
      <c r="A70" s="1">
        <v>1000595</v>
      </c>
      <c r="B70" s="1" t="s">
        <v>756</v>
      </c>
      <c r="C70" s="1">
        <v>3000038959</v>
      </c>
      <c r="D70" s="1">
        <v>12.24</v>
      </c>
      <c r="E70" s="1" t="s">
        <v>809</v>
      </c>
      <c r="F70" s="1">
        <v>5000277979</v>
      </c>
      <c r="G70" s="1"/>
      <c r="H70" s="3">
        <v>178.2</v>
      </c>
      <c r="I70" s="1">
        <v>181.32</v>
      </c>
      <c r="J70" s="3">
        <f t="shared" si="9"/>
        <v>3.1200000000000045</v>
      </c>
      <c r="K70" s="127">
        <f t="shared" ref="K70:K104" si="10">J70*D70</f>
        <v>38.188800000000057</v>
      </c>
    </row>
    <row r="71" spans="1:11" x14ac:dyDescent="0.25">
      <c r="A71" s="1">
        <v>1000595</v>
      </c>
      <c r="B71" s="1" t="s">
        <v>756</v>
      </c>
      <c r="C71" s="1">
        <v>3000038481</v>
      </c>
      <c r="D71" s="1">
        <v>147.83000000000001</v>
      </c>
      <c r="E71" s="1" t="s">
        <v>787</v>
      </c>
      <c r="F71" s="1">
        <v>5000277012</v>
      </c>
      <c r="G71" s="1"/>
      <c r="H71" s="3">
        <v>178.2</v>
      </c>
      <c r="I71" s="1">
        <v>181.32</v>
      </c>
      <c r="J71" s="3">
        <f t="shared" si="9"/>
        <v>3.1200000000000045</v>
      </c>
      <c r="K71" s="127">
        <f t="shared" si="10"/>
        <v>461.22960000000069</v>
      </c>
    </row>
    <row r="72" spans="1:11" x14ac:dyDescent="0.25">
      <c r="A72" s="1">
        <v>1000595</v>
      </c>
      <c r="B72" s="1" t="s">
        <v>756</v>
      </c>
      <c r="C72" s="1">
        <v>3000037819</v>
      </c>
      <c r="D72" s="1">
        <v>915.02</v>
      </c>
      <c r="E72" s="1" t="s">
        <v>808</v>
      </c>
      <c r="F72" s="1">
        <v>5000276706</v>
      </c>
      <c r="G72" s="1"/>
      <c r="H72" s="3">
        <v>178.2</v>
      </c>
      <c r="I72" s="1">
        <v>181.32</v>
      </c>
      <c r="J72" s="3">
        <f t="shared" si="9"/>
        <v>3.1200000000000045</v>
      </c>
      <c r="K72" s="127">
        <f t="shared" si="10"/>
        <v>2854.8624000000041</v>
      </c>
    </row>
    <row r="73" spans="1:11" x14ac:dyDescent="0.25">
      <c r="A73" s="1">
        <v>1000595</v>
      </c>
      <c r="B73" s="1" t="s">
        <v>756</v>
      </c>
      <c r="C73" s="1">
        <v>3000037819</v>
      </c>
      <c r="D73" s="1">
        <v>945</v>
      </c>
      <c r="E73" s="1" t="s">
        <v>787</v>
      </c>
      <c r="F73" s="1">
        <v>5000277012</v>
      </c>
      <c r="G73" s="1"/>
      <c r="H73" s="3">
        <v>178.2</v>
      </c>
      <c r="I73" s="1">
        <v>181.32</v>
      </c>
      <c r="J73" s="3">
        <f t="shared" si="9"/>
        <v>3.1200000000000045</v>
      </c>
      <c r="K73" s="127">
        <f t="shared" si="10"/>
        <v>2948.4000000000042</v>
      </c>
    </row>
    <row r="74" spans="1:11" x14ac:dyDescent="0.25">
      <c r="A74" s="1">
        <v>1000609</v>
      </c>
      <c r="B74" s="1" t="s">
        <v>757</v>
      </c>
      <c r="C74" s="1">
        <v>3000038481</v>
      </c>
      <c r="D74" s="3">
        <v>5117.75</v>
      </c>
      <c r="E74" s="1" t="s">
        <v>809</v>
      </c>
      <c r="F74" s="1">
        <v>5000277979</v>
      </c>
      <c r="G74" s="1"/>
      <c r="H74" s="3">
        <v>178.2</v>
      </c>
      <c r="I74" s="1">
        <v>181.32</v>
      </c>
      <c r="J74" s="3">
        <f t="shared" si="9"/>
        <v>3.1200000000000045</v>
      </c>
      <c r="K74" s="127">
        <f t="shared" si="10"/>
        <v>15967.380000000023</v>
      </c>
    </row>
    <row r="75" spans="1:11" x14ac:dyDescent="0.25">
      <c r="A75" s="1">
        <v>1000609</v>
      </c>
      <c r="B75" s="1" t="s">
        <v>757</v>
      </c>
      <c r="C75" s="1">
        <v>3000038481</v>
      </c>
      <c r="D75" s="1">
        <v>177.81</v>
      </c>
      <c r="E75" s="1" t="s">
        <v>808</v>
      </c>
      <c r="F75" s="1">
        <v>5000276706</v>
      </c>
      <c r="G75" s="1"/>
      <c r="H75" s="3">
        <v>178.2</v>
      </c>
      <c r="I75" s="1">
        <v>181.32</v>
      </c>
      <c r="J75" s="3">
        <f t="shared" si="9"/>
        <v>3.1200000000000045</v>
      </c>
      <c r="K75" s="127">
        <f t="shared" si="10"/>
        <v>554.7672000000008</v>
      </c>
    </row>
    <row r="76" spans="1:11" x14ac:dyDescent="0.25">
      <c r="A76" s="1">
        <v>1000628</v>
      </c>
      <c r="B76" s="1" t="s">
        <v>810</v>
      </c>
      <c r="C76" s="1">
        <v>3000038605</v>
      </c>
      <c r="D76" s="1">
        <v>20.52</v>
      </c>
      <c r="E76" s="1" t="s">
        <v>808</v>
      </c>
      <c r="F76" s="1">
        <v>5000276706</v>
      </c>
      <c r="G76" s="1"/>
      <c r="H76" s="3">
        <v>178.2</v>
      </c>
      <c r="I76" s="1">
        <v>181.32</v>
      </c>
      <c r="J76" s="3">
        <f t="shared" si="9"/>
        <v>3.1200000000000045</v>
      </c>
      <c r="K76" s="127">
        <f t="shared" si="10"/>
        <v>64.02240000000009</v>
      </c>
    </row>
    <row r="77" spans="1:11" x14ac:dyDescent="0.25">
      <c r="A77" s="1">
        <v>1000628</v>
      </c>
      <c r="B77" s="1" t="s">
        <v>810</v>
      </c>
      <c r="C77" s="1">
        <v>3000037819</v>
      </c>
      <c r="D77" s="1">
        <v>510</v>
      </c>
      <c r="E77" s="1" t="s">
        <v>787</v>
      </c>
      <c r="F77" s="1">
        <v>5000277012</v>
      </c>
      <c r="G77" s="1"/>
      <c r="H77" s="3">
        <v>178.2</v>
      </c>
      <c r="I77" s="1">
        <v>181.32</v>
      </c>
      <c r="J77" s="3">
        <f t="shared" si="9"/>
        <v>3.1200000000000045</v>
      </c>
      <c r="K77" s="127">
        <f t="shared" si="10"/>
        <v>1591.2000000000023</v>
      </c>
    </row>
    <row r="78" spans="1:11" x14ac:dyDescent="0.25">
      <c r="A78" s="1">
        <v>1000628</v>
      </c>
      <c r="B78" s="1" t="s">
        <v>810</v>
      </c>
      <c r="C78" s="1">
        <v>3000038605</v>
      </c>
      <c r="D78" s="1">
        <v>10.52</v>
      </c>
      <c r="E78" s="1" t="s">
        <v>787</v>
      </c>
      <c r="F78" s="1">
        <v>5000277012</v>
      </c>
      <c r="G78" s="1"/>
      <c r="H78" s="3">
        <v>178.2</v>
      </c>
      <c r="I78" s="1">
        <v>181.32</v>
      </c>
      <c r="J78" s="3">
        <f t="shared" si="9"/>
        <v>3.1200000000000045</v>
      </c>
      <c r="K78" s="127">
        <f t="shared" si="10"/>
        <v>32.822400000000044</v>
      </c>
    </row>
    <row r="79" spans="1:11" x14ac:dyDescent="0.25">
      <c r="A79" s="1">
        <v>1000628</v>
      </c>
      <c r="B79" s="1" t="s">
        <v>810</v>
      </c>
      <c r="C79" s="1">
        <v>3000037819</v>
      </c>
      <c r="D79" s="1">
        <v>500</v>
      </c>
      <c r="E79" s="1" t="s">
        <v>808</v>
      </c>
      <c r="F79" s="1">
        <v>5000276706</v>
      </c>
      <c r="G79" s="1"/>
      <c r="H79" s="3">
        <v>178.2</v>
      </c>
      <c r="I79" s="1">
        <v>181.32</v>
      </c>
      <c r="J79" s="3">
        <f t="shared" si="9"/>
        <v>3.1200000000000045</v>
      </c>
      <c r="K79" s="127">
        <f t="shared" si="10"/>
        <v>1560.0000000000023</v>
      </c>
    </row>
    <row r="80" spans="1:11" x14ac:dyDescent="0.25">
      <c r="A80" s="1">
        <v>1000638</v>
      </c>
      <c r="B80" s="1" t="s">
        <v>811</v>
      </c>
      <c r="C80" s="1">
        <v>3000038481</v>
      </c>
      <c r="D80" s="1">
        <v>531.75</v>
      </c>
      <c r="E80" s="1" t="s">
        <v>809</v>
      </c>
      <c r="F80" s="1">
        <v>5000277979</v>
      </c>
      <c r="G80" s="1"/>
      <c r="H80" s="3">
        <v>178.2</v>
      </c>
      <c r="I80" s="1">
        <v>181.32</v>
      </c>
      <c r="J80" s="3">
        <f t="shared" si="9"/>
        <v>3.1200000000000045</v>
      </c>
      <c r="K80" s="127">
        <f t="shared" si="10"/>
        <v>1659.0600000000024</v>
      </c>
    </row>
    <row r="81" spans="1:11" x14ac:dyDescent="0.25">
      <c r="A81" s="1">
        <v>1000638</v>
      </c>
      <c r="B81" s="1" t="s">
        <v>811</v>
      </c>
      <c r="C81" s="1">
        <v>3000038481</v>
      </c>
      <c r="D81" s="1">
        <v>13.55</v>
      </c>
      <c r="E81" s="1" t="s">
        <v>808</v>
      </c>
      <c r="F81" s="1">
        <v>5000276732</v>
      </c>
      <c r="G81" s="1"/>
      <c r="H81" s="3">
        <v>178.2</v>
      </c>
      <c r="I81" s="1">
        <v>181.32</v>
      </c>
      <c r="J81" s="3">
        <f t="shared" si="9"/>
        <v>3.1200000000000045</v>
      </c>
      <c r="K81" s="127">
        <f t="shared" si="10"/>
        <v>42.276000000000067</v>
      </c>
    </row>
    <row r="82" spans="1:11" x14ac:dyDescent="0.25">
      <c r="A82" s="1">
        <v>1000638</v>
      </c>
      <c r="B82" s="1" t="s">
        <v>811</v>
      </c>
      <c r="C82" s="1">
        <v>3000037832</v>
      </c>
      <c r="D82" s="1">
        <v>500</v>
      </c>
      <c r="E82" s="1" t="s">
        <v>808</v>
      </c>
      <c r="F82" s="1">
        <v>5000276725</v>
      </c>
      <c r="G82" s="1"/>
      <c r="H82" s="3">
        <v>178.2</v>
      </c>
      <c r="I82" s="1">
        <v>181.32</v>
      </c>
      <c r="J82" s="3">
        <f t="shared" si="9"/>
        <v>3.1200000000000045</v>
      </c>
      <c r="K82" s="127">
        <f t="shared" si="10"/>
        <v>1560.0000000000023</v>
      </c>
    </row>
    <row r="83" spans="1:11" x14ac:dyDescent="0.25">
      <c r="A83" s="1">
        <v>1000638</v>
      </c>
      <c r="B83" s="1" t="s">
        <v>811</v>
      </c>
      <c r="C83" s="1">
        <v>3000037832</v>
      </c>
      <c r="D83" s="1">
        <v>500</v>
      </c>
      <c r="E83" s="1" t="s">
        <v>808</v>
      </c>
      <c r="F83" s="1">
        <v>5000276723</v>
      </c>
      <c r="G83" s="1"/>
      <c r="H83" s="3">
        <v>178.2</v>
      </c>
      <c r="I83" s="1">
        <v>181.32</v>
      </c>
      <c r="J83" s="3">
        <f t="shared" si="9"/>
        <v>3.1200000000000045</v>
      </c>
      <c r="K83" s="127">
        <f t="shared" si="10"/>
        <v>1560.0000000000023</v>
      </c>
    </row>
    <row r="84" spans="1:11" x14ac:dyDescent="0.25">
      <c r="A84" s="1">
        <v>1000638</v>
      </c>
      <c r="B84" s="1" t="s">
        <v>811</v>
      </c>
      <c r="C84" s="1">
        <v>3000037171</v>
      </c>
      <c r="D84" s="1">
        <v>11.51</v>
      </c>
      <c r="E84" s="1" t="s">
        <v>808</v>
      </c>
      <c r="F84" s="1">
        <v>5000276723</v>
      </c>
      <c r="G84" s="1"/>
      <c r="H84" s="3">
        <v>178.2</v>
      </c>
      <c r="I84" s="1">
        <v>181.32</v>
      </c>
      <c r="J84" s="3">
        <f t="shared" si="9"/>
        <v>3.1200000000000045</v>
      </c>
      <c r="K84" s="127">
        <f t="shared" si="10"/>
        <v>35.911200000000051</v>
      </c>
    </row>
    <row r="85" spans="1:11" x14ac:dyDescent="0.25">
      <c r="A85" s="1">
        <v>1000638</v>
      </c>
      <c r="B85" s="1" t="s">
        <v>811</v>
      </c>
      <c r="C85" s="1">
        <v>3000037171</v>
      </c>
      <c r="D85" s="1">
        <v>48.91</v>
      </c>
      <c r="E85" s="1" t="s">
        <v>808</v>
      </c>
      <c r="F85" s="1">
        <v>5000276732</v>
      </c>
      <c r="G85" s="1"/>
      <c r="H85" s="3">
        <v>178.2</v>
      </c>
      <c r="I85" s="1">
        <v>181.32</v>
      </c>
      <c r="J85" s="3">
        <f t="shared" si="9"/>
        <v>3.1200000000000045</v>
      </c>
      <c r="K85" s="127">
        <f t="shared" si="10"/>
        <v>152.59920000000022</v>
      </c>
    </row>
    <row r="86" spans="1:11" x14ac:dyDescent="0.25">
      <c r="A86" s="1">
        <v>1000638</v>
      </c>
      <c r="B86" s="1" t="s">
        <v>811</v>
      </c>
      <c r="C86" s="1">
        <v>3000037171</v>
      </c>
      <c r="D86" s="1">
        <v>11.51</v>
      </c>
      <c r="E86" s="1" t="s">
        <v>808</v>
      </c>
      <c r="F86" s="1">
        <v>5000276725</v>
      </c>
      <c r="G86" s="1"/>
      <c r="H86" s="3">
        <v>178.2</v>
      </c>
      <c r="I86" s="1">
        <v>181.32</v>
      </c>
      <c r="J86" s="3">
        <f t="shared" si="9"/>
        <v>3.1200000000000045</v>
      </c>
      <c r="K86" s="127">
        <f t="shared" si="10"/>
        <v>35.911200000000051</v>
      </c>
    </row>
    <row r="87" spans="1:11" x14ac:dyDescent="0.25">
      <c r="A87" s="1">
        <v>1002945</v>
      </c>
      <c r="B87" s="1" t="s">
        <v>812</v>
      </c>
      <c r="C87" s="1">
        <v>3000037832</v>
      </c>
      <c r="D87" s="1">
        <v>500</v>
      </c>
      <c r="E87" s="1" t="s">
        <v>808</v>
      </c>
      <c r="F87" s="1">
        <v>5000276725</v>
      </c>
      <c r="G87" s="1"/>
      <c r="H87" s="3">
        <v>178.2</v>
      </c>
      <c r="I87" s="1">
        <v>181.32</v>
      </c>
      <c r="J87" s="3">
        <f t="shared" si="9"/>
        <v>3.1200000000000045</v>
      </c>
      <c r="K87" s="127">
        <f t="shared" si="10"/>
        <v>1560.0000000000023</v>
      </c>
    </row>
    <row r="88" spans="1:11" x14ac:dyDescent="0.25">
      <c r="A88" s="1">
        <v>1002945</v>
      </c>
      <c r="B88" s="1" t="s">
        <v>812</v>
      </c>
      <c r="C88" s="1">
        <v>3000038688</v>
      </c>
      <c r="D88" s="1">
        <v>20.27</v>
      </c>
      <c r="E88" s="1" t="s">
        <v>808</v>
      </c>
      <c r="F88" s="1">
        <v>5000276725</v>
      </c>
      <c r="G88" s="1"/>
      <c r="H88" s="3">
        <v>178.2</v>
      </c>
      <c r="I88" s="1">
        <v>181.32</v>
      </c>
      <c r="J88" s="3">
        <f t="shared" si="9"/>
        <v>3.1200000000000045</v>
      </c>
      <c r="K88" s="127">
        <f t="shared" si="10"/>
        <v>63.242400000000089</v>
      </c>
    </row>
    <row r="89" spans="1:11" x14ac:dyDescent="0.25">
      <c r="A89" s="1">
        <v>1002946</v>
      </c>
      <c r="B89" s="1" t="s">
        <v>813</v>
      </c>
      <c r="C89" s="1">
        <v>3000037832</v>
      </c>
      <c r="D89" s="1">
        <v>516.94000000000005</v>
      </c>
      <c r="E89" s="1" t="s">
        <v>806</v>
      </c>
      <c r="F89" s="1">
        <v>5000277485</v>
      </c>
      <c r="G89" s="1"/>
      <c r="H89" s="3">
        <v>178.2</v>
      </c>
      <c r="I89" s="1">
        <v>181.32</v>
      </c>
      <c r="J89" s="3">
        <f t="shared" si="9"/>
        <v>3.1200000000000045</v>
      </c>
      <c r="K89" s="127">
        <f t="shared" si="10"/>
        <v>1612.8528000000026</v>
      </c>
    </row>
    <row r="90" spans="1:11" x14ac:dyDescent="0.25">
      <c r="A90" s="1">
        <v>1002946</v>
      </c>
      <c r="B90" s="1" t="s">
        <v>813</v>
      </c>
      <c r="C90" s="1">
        <v>3000037832</v>
      </c>
      <c r="D90" s="1">
        <v>16.940000000000001</v>
      </c>
      <c r="E90" s="1" t="s">
        <v>806</v>
      </c>
      <c r="F90" s="1">
        <v>5000277487</v>
      </c>
      <c r="G90" s="1"/>
      <c r="H90" s="3">
        <v>178.2</v>
      </c>
      <c r="I90" s="1">
        <v>181.32</v>
      </c>
      <c r="J90" s="3">
        <f t="shared" si="9"/>
        <v>3.1200000000000045</v>
      </c>
      <c r="K90" s="127">
        <f t="shared" si="10"/>
        <v>52.85280000000008</v>
      </c>
    </row>
    <row r="91" spans="1:11" x14ac:dyDescent="0.25">
      <c r="A91" s="1">
        <v>1002946</v>
      </c>
      <c r="B91" s="1" t="s">
        <v>813</v>
      </c>
      <c r="C91" s="1">
        <v>3000038605</v>
      </c>
      <c r="D91" s="1">
        <v>500</v>
      </c>
      <c r="E91" s="1" t="s">
        <v>806</v>
      </c>
      <c r="F91" s="1">
        <v>5000277487</v>
      </c>
      <c r="G91" s="1"/>
      <c r="H91" s="3">
        <v>178.2</v>
      </c>
      <c r="I91" s="1">
        <v>181.32</v>
      </c>
      <c r="J91" s="3">
        <f t="shared" si="9"/>
        <v>3.1200000000000045</v>
      </c>
      <c r="K91" s="127">
        <f t="shared" si="10"/>
        <v>1560.0000000000023</v>
      </c>
    </row>
    <row r="92" spans="1:11" x14ac:dyDescent="0.25">
      <c r="A92" s="1">
        <v>1003150</v>
      </c>
      <c r="B92" s="1" t="s">
        <v>814</v>
      </c>
      <c r="C92" s="1">
        <v>3000038688</v>
      </c>
      <c r="D92" s="1">
        <v>18.36</v>
      </c>
      <c r="E92" s="1" t="s">
        <v>808</v>
      </c>
      <c r="F92" s="1">
        <v>5000276728</v>
      </c>
      <c r="G92" s="1"/>
      <c r="H92" s="3">
        <v>178.2</v>
      </c>
      <c r="I92" s="1">
        <v>181.32</v>
      </c>
      <c r="J92" s="3">
        <f t="shared" si="9"/>
        <v>3.1200000000000045</v>
      </c>
      <c r="K92" s="127">
        <f t="shared" si="10"/>
        <v>57.283200000000079</v>
      </c>
    </row>
    <row r="93" spans="1:11" x14ac:dyDescent="0.25">
      <c r="A93" s="1">
        <v>1003150</v>
      </c>
      <c r="B93" s="1" t="s">
        <v>814</v>
      </c>
      <c r="C93" s="1">
        <v>3000038064</v>
      </c>
      <c r="D93" s="1">
        <v>500</v>
      </c>
      <c r="E93" s="1" t="s">
        <v>808</v>
      </c>
      <c r="F93" s="1">
        <v>5000276728</v>
      </c>
      <c r="G93" s="1"/>
      <c r="H93" s="3">
        <v>178.2</v>
      </c>
      <c r="I93" s="1">
        <v>181.32</v>
      </c>
      <c r="J93" s="3">
        <f t="shared" si="9"/>
        <v>3.1200000000000045</v>
      </c>
      <c r="K93" s="127">
        <f t="shared" si="10"/>
        <v>1560.0000000000023</v>
      </c>
    </row>
    <row r="94" spans="1:11" x14ac:dyDescent="0.25">
      <c r="A94" s="1">
        <v>1003151</v>
      </c>
      <c r="B94" s="1" t="s">
        <v>815</v>
      </c>
      <c r="C94" s="1">
        <v>3000037960</v>
      </c>
      <c r="D94" s="1">
        <v>475.81</v>
      </c>
      <c r="E94" s="1" t="s">
        <v>806</v>
      </c>
      <c r="F94" s="1">
        <v>5000277486</v>
      </c>
      <c r="G94" s="1"/>
      <c r="H94" s="3">
        <v>178.2</v>
      </c>
      <c r="I94" s="1">
        <v>181.32</v>
      </c>
      <c r="J94" s="3">
        <f t="shared" si="9"/>
        <v>3.1200000000000045</v>
      </c>
      <c r="K94" s="127">
        <f t="shared" si="10"/>
        <v>1484.5272000000023</v>
      </c>
    </row>
    <row r="95" spans="1:11" x14ac:dyDescent="0.25">
      <c r="A95" s="1">
        <v>1003193</v>
      </c>
      <c r="B95" s="1" t="s">
        <v>816</v>
      </c>
      <c r="C95" s="1">
        <v>3000038844</v>
      </c>
      <c r="D95" s="1">
        <v>25.46</v>
      </c>
      <c r="E95" s="1" t="s">
        <v>809</v>
      </c>
      <c r="F95" s="1">
        <v>5000277978</v>
      </c>
      <c r="G95" s="1"/>
      <c r="H95" s="1">
        <v>165.55</v>
      </c>
      <c r="I95" s="1">
        <v>168.21</v>
      </c>
      <c r="J95" s="1">
        <f t="shared" si="9"/>
        <v>2.6599999999999966</v>
      </c>
      <c r="K95" s="1">
        <f t="shared" si="10"/>
        <v>67.723599999999919</v>
      </c>
    </row>
    <row r="96" spans="1:11" x14ac:dyDescent="0.25">
      <c r="A96" s="1">
        <v>1003193</v>
      </c>
      <c r="B96" s="1" t="s">
        <v>816</v>
      </c>
      <c r="C96" s="1">
        <v>3000038028</v>
      </c>
      <c r="D96" s="1">
        <v>490</v>
      </c>
      <c r="E96" s="1" t="s">
        <v>809</v>
      </c>
      <c r="F96" s="1">
        <v>5000277978</v>
      </c>
      <c r="G96" s="1"/>
      <c r="H96" s="1">
        <v>165.55</v>
      </c>
      <c r="I96" s="1">
        <v>168.21</v>
      </c>
      <c r="J96" s="1">
        <f t="shared" si="9"/>
        <v>2.6599999999999966</v>
      </c>
      <c r="K96" s="1">
        <f t="shared" si="10"/>
        <v>1303.3999999999983</v>
      </c>
    </row>
    <row r="97" spans="1:11" x14ac:dyDescent="0.25">
      <c r="A97" s="1">
        <v>1003193</v>
      </c>
      <c r="B97" s="1" t="s">
        <v>816</v>
      </c>
      <c r="C97" s="1">
        <v>3000038596</v>
      </c>
      <c r="D97" s="1">
        <v>500</v>
      </c>
      <c r="E97" s="1" t="s">
        <v>806</v>
      </c>
      <c r="F97" s="1">
        <v>5000277480</v>
      </c>
      <c r="G97" s="1"/>
      <c r="H97" s="1">
        <v>165.55</v>
      </c>
      <c r="I97" s="1">
        <v>168.21</v>
      </c>
      <c r="J97" s="1">
        <f t="shared" si="9"/>
        <v>2.6599999999999966</v>
      </c>
      <c r="K97" s="1">
        <f t="shared" si="10"/>
        <v>1329.9999999999982</v>
      </c>
    </row>
    <row r="98" spans="1:11" x14ac:dyDescent="0.25">
      <c r="A98" s="1">
        <v>1003193</v>
      </c>
      <c r="B98" s="1" t="s">
        <v>816</v>
      </c>
      <c r="C98" s="1">
        <v>3000038028</v>
      </c>
      <c r="D98" s="1">
        <v>16.21</v>
      </c>
      <c r="E98" s="1" t="s">
        <v>806</v>
      </c>
      <c r="F98" s="1">
        <v>5000277480</v>
      </c>
      <c r="G98" s="1"/>
      <c r="H98" s="1">
        <v>165.55</v>
      </c>
      <c r="I98" s="1">
        <v>168.21</v>
      </c>
      <c r="J98" s="1">
        <f t="shared" si="9"/>
        <v>2.6599999999999966</v>
      </c>
      <c r="K98" s="1">
        <f t="shared" si="10"/>
        <v>43.118599999999944</v>
      </c>
    </row>
    <row r="99" spans="1:11" x14ac:dyDescent="0.25">
      <c r="A99" s="1">
        <v>1003194</v>
      </c>
      <c r="B99" s="1" t="s">
        <v>817</v>
      </c>
      <c r="C99" s="1">
        <v>3000038844</v>
      </c>
      <c r="D99" s="1">
        <v>34.99</v>
      </c>
      <c r="E99" s="1" t="s">
        <v>809</v>
      </c>
      <c r="F99" s="1">
        <v>5000277984</v>
      </c>
      <c r="G99" s="1"/>
      <c r="H99" s="1">
        <v>165.55</v>
      </c>
      <c r="I99" s="1">
        <v>168.21</v>
      </c>
      <c r="J99" s="1">
        <f t="shared" si="9"/>
        <v>2.6599999999999966</v>
      </c>
      <c r="K99" s="1">
        <f t="shared" si="10"/>
        <v>93.073399999999893</v>
      </c>
    </row>
    <row r="100" spans="1:11" x14ac:dyDescent="0.25">
      <c r="A100" s="1">
        <v>1003194</v>
      </c>
      <c r="B100" s="1" t="s">
        <v>817</v>
      </c>
      <c r="C100" s="1">
        <v>3000038028</v>
      </c>
      <c r="D100" s="1">
        <v>490</v>
      </c>
      <c r="E100" s="1" t="s">
        <v>809</v>
      </c>
      <c r="F100" s="1">
        <v>5000277978</v>
      </c>
      <c r="G100" s="1"/>
      <c r="H100" s="1">
        <v>165.55</v>
      </c>
      <c r="I100" s="1">
        <v>168.21</v>
      </c>
      <c r="J100" s="1">
        <f t="shared" si="9"/>
        <v>2.6599999999999966</v>
      </c>
      <c r="K100" s="1">
        <f t="shared" si="10"/>
        <v>1303.3999999999983</v>
      </c>
    </row>
    <row r="101" spans="1:11" x14ac:dyDescent="0.25">
      <c r="A101" s="1">
        <v>1003194</v>
      </c>
      <c r="B101" s="1" t="s">
        <v>817</v>
      </c>
      <c r="C101" s="1">
        <v>3000038596</v>
      </c>
      <c r="D101" s="1">
        <v>500</v>
      </c>
      <c r="E101" s="1" t="s">
        <v>806</v>
      </c>
      <c r="F101" s="1">
        <v>5000277480</v>
      </c>
      <c r="G101" s="1"/>
      <c r="H101" s="1">
        <v>165.55</v>
      </c>
      <c r="I101" s="1">
        <v>168.21</v>
      </c>
      <c r="J101" s="1">
        <f t="shared" si="9"/>
        <v>2.6599999999999966</v>
      </c>
      <c r="K101" s="1">
        <f t="shared" si="10"/>
        <v>1329.9999999999982</v>
      </c>
    </row>
    <row r="102" spans="1:11" x14ac:dyDescent="0.25">
      <c r="A102" s="1">
        <v>1003194</v>
      </c>
      <c r="B102" s="1" t="s">
        <v>817</v>
      </c>
      <c r="C102" s="1">
        <v>3000038028</v>
      </c>
      <c r="D102" s="1">
        <v>19.88</v>
      </c>
      <c r="E102" s="1" t="s">
        <v>806</v>
      </c>
      <c r="F102" s="1">
        <v>5000277480</v>
      </c>
      <c r="G102" s="1"/>
      <c r="H102" s="1">
        <v>165.55</v>
      </c>
      <c r="I102" s="1">
        <v>168.21</v>
      </c>
      <c r="J102" s="1">
        <f t="shared" si="9"/>
        <v>2.6599999999999966</v>
      </c>
      <c r="K102" s="1">
        <f t="shared" si="10"/>
        <v>52.88079999999993</v>
      </c>
    </row>
    <row r="103" spans="1:11" x14ac:dyDescent="0.25">
      <c r="A103" s="1">
        <v>1003195</v>
      </c>
      <c r="B103" s="1" t="s">
        <v>818</v>
      </c>
      <c r="C103" s="1">
        <v>3000038028</v>
      </c>
      <c r="D103" s="1">
        <v>510</v>
      </c>
      <c r="E103" s="1" t="s">
        <v>809</v>
      </c>
      <c r="F103" s="1">
        <v>5000277978</v>
      </c>
      <c r="G103" s="1"/>
      <c r="H103" s="1">
        <v>165.55</v>
      </c>
      <c r="I103" s="1">
        <v>168.21</v>
      </c>
      <c r="J103" s="1">
        <f t="shared" si="9"/>
        <v>2.6599999999999966</v>
      </c>
      <c r="K103" s="1">
        <f t="shared" si="10"/>
        <v>1356.5999999999983</v>
      </c>
    </row>
    <row r="104" spans="1:11" x14ac:dyDescent="0.25">
      <c r="A104" s="1">
        <v>1003195</v>
      </c>
      <c r="B104" s="1" t="s">
        <v>818</v>
      </c>
      <c r="C104" s="1">
        <v>3000038844</v>
      </c>
      <c r="D104" s="1">
        <v>15</v>
      </c>
      <c r="E104" s="1" t="s">
        <v>809</v>
      </c>
      <c r="F104" s="1">
        <v>5000277978</v>
      </c>
      <c r="G104" s="1"/>
      <c r="H104" s="1">
        <v>165.55</v>
      </c>
      <c r="I104" s="1">
        <v>168.21</v>
      </c>
      <c r="J104" s="1">
        <f t="shared" si="9"/>
        <v>2.6599999999999966</v>
      </c>
      <c r="K104" s="1">
        <f t="shared" si="10"/>
        <v>39.899999999999949</v>
      </c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>
        <f>SUM(D69:D106)</f>
        <v>15965.78</v>
      </c>
      <c r="E107" s="1"/>
      <c r="F107" s="1"/>
      <c r="G107" s="1"/>
      <c r="H107" s="1"/>
      <c r="I107" s="1"/>
      <c r="J107" s="5" t="s">
        <v>58</v>
      </c>
      <c r="K107" s="128">
        <f>SUM(K69:K104)</f>
        <v>48616.525200000062</v>
      </c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5" t="s">
        <v>753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5" t="s">
        <v>430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5"/>
      <c r="B115" s="1" t="s">
        <v>169</v>
      </c>
      <c r="C115" s="1" t="s">
        <v>770</v>
      </c>
      <c r="D115" s="1" t="s">
        <v>771</v>
      </c>
      <c r="E115" s="1" t="s">
        <v>618</v>
      </c>
      <c r="F115" s="1" t="s">
        <v>22</v>
      </c>
      <c r="G115" s="1"/>
      <c r="H115" s="1" t="s">
        <v>192</v>
      </c>
      <c r="I115" s="1" t="s">
        <v>145</v>
      </c>
      <c r="J115" s="1" t="s">
        <v>52</v>
      </c>
      <c r="K115" s="1" t="s">
        <v>21</v>
      </c>
    </row>
    <row r="116" spans="1:11" x14ac:dyDescent="0.25">
      <c r="A116" s="5">
        <v>1000609</v>
      </c>
      <c r="B116" s="1" t="s">
        <v>757</v>
      </c>
      <c r="C116" s="1">
        <v>3000037883</v>
      </c>
      <c r="D116" s="1" t="s">
        <v>790</v>
      </c>
      <c r="E116" s="1"/>
      <c r="F116" s="1">
        <v>295.7</v>
      </c>
      <c r="G116" s="1"/>
      <c r="H116" s="1">
        <v>163.75</v>
      </c>
      <c r="I116" s="3">
        <v>159.05000000000001</v>
      </c>
      <c r="J116" s="3">
        <f>H116-I116</f>
        <v>4.6999999999999886</v>
      </c>
      <c r="K116" s="1">
        <f>J116*F116</f>
        <v>1389.7899999999966</v>
      </c>
    </row>
    <row r="117" spans="1:11" x14ac:dyDescent="0.25">
      <c r="A117" s="5">
        <v>1000609</v>
      </c>
      <c r="B117" s="1" t="s">
        <v>757</v>
      </c>
      <c r="C117" s="1">
        <v>3000037883</v>
      </c>
      <c r="D117" s="1" t="s">
        <v>787</v>
      </c>
      <c r="E117" s="1"/>
      <c r="F117" s="3">
        <v>1264.4000000000001</v>
      </c>
      <c r="G117" s="1"/>
      <c r="H117" s="1">
        <v>163.75</v>
      </c>
      <c r="I117" s="3">
        <v>166.15</v>
      </c>
      <c r="J117" s="3">
        <f t="shared" ref="J117:J133" si="11">I117-H117</f>
        <v>2.4000000000000057</v>
      </c>
      <c r="K117" s="1">
        <f t="shared" ref="K117:K133" si="12">J117*F117</f>
        <v>3034.5600000000072</v>
      </c>
    </row>
    <row r="118" spans="1:11" x14ac:dyDescent="0.25">
      <c r="A118" s="5">
        <v>1000609</v>
      </c>
      <c r="B118" s="1" t="s">
        <v>757</v>
      </c>
      <c r="C118" s="1">
        <v>3000037883</v>
      </c>
      <c r="D118" s="1" t="s">
        <v>819</v>
      </c>
      <c r="E118" s="1"/>
      <c r="F118" s="3">
        <v>1146.5999999999999</v>
      </c>
      <c r="G118" s="1"/>
      <c r="H118" s="1">
        <v>163.75</v>
      </c>
      <c r="I118" s="3">
        <v>166.15</v>
      </c>
      <c r="J118" s="3">
        <f t="shared" si="11"/>
        <v>2.4000000000000057</v>
      </c>
      <c r="K118" s="1">
        <f t="shared" si="12"/>
        <v>2751.8400000000065</v>
      </c>
    </row>
    <row r="119" spans="1:11" x14ac:dyDescent="0.25">
      <c r="A119" s="5">
        <v>1000609</v>
      </c>
      <c r="B119" s="1" t="s">
        <v>757</v>
      </c>
      <c r="C119" s="1">
        <v>3000037883</v>
      </c>
      <c r="D119" s="1" t="s">
        <v>820</v>
      </c>
      <c r="E119" s="1"/>
      <c r="F119" s="3">
        <v>1106.7</v>
      </c>
      <c r="G119" s="1"/>
      <c r="H119" s="1">
        <v>163.75</v>
      </c>
      <c r="I119" s="3">
        <v>166.15</v>
      </c>
      <c r="J119" s="3">
        <f t="shared" si="11"/>
        <v>2.4000000000000057</v>
      </c>
      <c r="K119" s="1">
        <f t="shared" si="12"/>
        <v>2656.0800000000063</v>
      </c>
    </row>
    <row r="120" spans="1:11" x14ac:dyDescent="0.25">
      <c r="A120" s="5">
        <v>1002817</v>
      </c>
      <c r="B120" s="1" t="s">
        <v>821</v>
      </c>
      <c r="C120" s="1">
        <v>3000038686</v>
      </c>
      <c r="D120" s="1" t="s">
        <v>822</v>
      </c>
      <c r="E120" s="1"/>
      <c r="F120" s="3">
        <v>3123.1</v>
      </c>
      <c r="G120" s="1"/>
      <c r="H120" s="1">
        <v>163.75</v>
      </c>
      <c r="I120" s="3">
        <v>166.15</v>
      </c>
      <c r="J120" s="3">
        <f t="shared" si="11"/>
        <v>2.4000000000000057</v>
      </c>
      <c r="K120" s="1">
        <f t="shared" si="12"/>
        <v>7495.4400000000178</v>
      </c>
    </row>
    <row r="121" spans="1:11" x14ac:dyDescent="0.25">
      <c r="A121" s="5">
        <v>1002817</v>
      </c>
      <c r="B121" s="1" t="s">
        <v>821</v>
      </c>
      <c r="C121" s="1">
        <v>3000038627</v>
      </c>
      <c r="D121" s="1" t="s">
        <v>823</v>
      </c>
      <c r="E121" s="1"/>
      <c r="F121" s="3">
        <v>1227.5</v>
      </c>
      <c r="G121" s="1"/>
      <c r="H121" s="1">
        <v>163.75</v>
      </c>
      <c r="I121" s="3">
        <v>166.15</v>
      </c>
      <c r="J121" s="3">
        <f t="shared" si="11"/>
        <v>2.4000000000000057</v>
      </c>
      <c r="K121" s="1">
        <f t="shared" si="12"/>
        <v>2946.0000000000068</v>
      </c>
    </row>
    <row r="122" spans="1:11" x14ac:dyDescent="0.25">
      <c r="A122" s="5">
        <v>1002817</v>
      </c>
      <c r="B122" s="1" t="s">
        <v>821</v>
      </c>
      <c r="C122" s="1">
        <v>3000038627</v>
      </c>
      <c r="D122" s="1" t="s">
        <v>790</v>
      </c>
      <c r="E122" s="1"/>
      <c r="F122" s="3">
        <v>1184.0999999999999</v>
      </c>
      <c r="G122" s="1"/>
      <c r="H122" s="1">
        <v>163.75</v>
      </c>
      <c r="I122" s="3">
        <v>166.15</v>
      </c>
      <c r="J122" s="3">
        <f t="shared" si="11"/>
        <v>2.4000000000000057</v>
      </c>
      <c r="K122" s="1">
        <f t="shared" si="12"/>
        <v>2841.8400000000065</v>
      </c>
    </row>
    <row r="123" spans="1:11" x14ac:dyDescent="0.25">
      <c r="A123" s="5">
        <v>1002820</v>
      </c>
      <c r="B123" s="1" t="s">
        <v>461</v>
      </c>
      <c r="C123" s="1">
        <v>3000037833</v>
      </c>
      <c r="D123" s="1" t="s">
        <v>820</v>
      </c>
      <c r="E123" s="1"/>
      <c r="F123" s="2">
        <v>2009</v>
      </c>
      <c r="G123" s="1"/>
      <c r="H123" s="1">
        <v>163.75</v>
      </c>
      <c r="I123" s="3">
        <v>166.15</v>
      </c>
      <c r="J123" s="3">
        <f t="shared" si="11"/>
        <v>2.4000000000000057</v>
      </c>
      <c r="K123" s="1">
        <f t="shared" si="12"/>
        <v>4821.6000000000113</v>
      </c>
    </row>
    <row r="124" spans="1:11" x14ac:dyDescent="0.25">
      <c r="A124" s="5">
        <v>1002821</v>
      </c>
      <c r="B124" s="1" t="s">
        <v>767</v>
      </c>
      <c r="C124" s="1">
        <v>3000038627</v>
      </c>
      <c r="D124" s="1" t="s">
        <v>794</v>
      </c>
      <c r="E124" s="1"/>
      <c r="F124" s="1">
        <v>495</v>
      </c>
      <c r="G124" s="1"/>
      <c r="H124" s="1">
        <v>163.75</v>
      </c>
      <c r="I124" s="3">
        <v>166.15</v>
      </c>
      <c r="J124" s="3">
        <f t="shared" si="11"/>
        <v>2.4000000000000057</v>
      </c>
      <c r="K124" s="1">
        <f t="shared" si="12"/>
        <v>1188.0000000000027</v>
      </c>
    </row>
    <row r="125" spans="1:11" x14ac:dyDescent="0.25">
      <c r="A125" s="5">
        <v>1002821</v>
      </c>
      <c r="B125" s="1" t="s">
        <v>767</v>
      </c>
      <c r="C125" s="1">
        <v>3000038686</v>
      </c>
      <c r="D125" s="1" t="s">
        <v>794</v>
      </c>
      <c r="E125" s="1"/>
      <c r="F125" s="3">
        <v>1036.5999999999999</v>
      </c>
      <c r="G125" s="1"/>
      <c r="H125" s="1">
        <v>163.75</v>
      </c>
      <c r="I125" s="3">
        <v>166.15</v>
      </c>
      <c r="J125" s="3">
        <f t="shared" si="11"/>
        <v>2.4000000000000057</v>
      </c>
      <c r="K125" s="1">
        <f t="shared" si="12"/>
        <v>2487.8400000000056</v>
      </c>
    </row>
    <row r="126" spans="1:11" x14ac:dyDescent="0.25">
      <c r="A126" s="5">
        <v>1002821</v>
      </c>
      <c r="B126" s="1" t="s">
        <v>767</v>
      </c>
      <c r="C126" s="1">
        <v>3000038686</v>
      </c>
      <c r="D126" s="1" t="s">
        <v>794</v>
      </c>
      <c r="E126" s="1"/>
      <c r="F126" s="1">
        <v>500</v>
      </c>
      <c r="G126" s="1"/>
      <c r="H126" s="1">
        <v>163.75</v>
      </c>
      <c r="I126" s="3">
        <v>166.15</v>
      </c>
      <c r="J126" s="3">
        <f t="shared" si="11"/>
        <v>2.4000000000000057</v>
      </c>
      <c r="K126" s="1">
        <f t="shared" si="12"/>
        <v>1200.0000000000027</v>
      </c>
    </row>
    <row r="127" spans="1:11" x14ac:dyDescent="0.25">
      <c r="A127" s="5">
        <v>1002821</v>
      </c>
      <c r="B127" s="1" t="s">
        <v>767</v>
      </c>
      <c r="C127" s="1">
        <v>3000037833</v>
      </c>
      <c r="D127" s="1" t="s">
        <v>820</v>
      </c>
      <c r="E127" s="1"/>
      <c r="F127" s="1">
        <v>0.2</v>
      </c>
      <c r="G127" s="1"/>
      <c r="H127" s="1">
        <v>163.75</v>
      </c>
      <c r="I127" s="3">
        <v>166.15</v>
      </c>
      <c r="J127" s="3">
        <f t="shared" si="11"/>
        <v>2.4000000000000057</v>
      </c>
      <c r="K127" s="1">
        <f t="shared" si="12"/>
        <v>0.48000000000000115</v>
      </c>
    </row>
    <row r="128" spans="1:11" x14ac:dyDescent="0.25">
      <c r="A128" s="5">
        <v>1002821</v>
      </c>
      <c r="B128" s="1" t="s">
        <v>767</v>
      </c>
      <c r="C128" s="1">
        <v>3000037833</v>
      </c>
      <c r="D128" s="1" t="s">
        <v>820</v>
      </c>
      <c r="E128" s="1"/>
      <c r="F128" s="1">
        <v>893.1</v>
      </c>
      <c r="G128" s="1"/>
      <c r="H128" s="1">
        <v>163.75</v>
      </c>
      <c r="I128" s="3">
        <v>166.15</v>
      </c>
      <c r="J128" s="3">
        <f t="shared" si="11"/>
        <v>2.4000000000000057</v>
      </c>
      <c r="K128" s="1">
        <f t="shared" si="12"/>
        <v>2143.4400000000051</v>
      </c>
    </row>
    <row r="129" spans="1:11" x14ac:dyDescent="0.25">
      <c r="A129" s="5">
        <v>1002827</v>
      </c>
      <c r="B129" s="1" t="s">
        <v>824</v>
      </c>
      <c r="C129" s="1">
        <v>3000038627</v>
      </c>
      <c r="D129" s="1" t="s">
        <v>823</v>
      </c>
      <c r="E129" s="1"/>
      <c r="F129" s="3">
        <v>1221.8</v>
      </c>
      <c r="G129" s="1"/>
      <c r="H129" s="1">
        <v>163.75</v>
      </c>
      <c r="I129" s="3">
        <v>166.15</v>
      </c>
      <c r="J129" s="3">
        <f t="shared" si="11"/>
        <v>2.4000000000000057</v>
      </c>
      <c r="K129" s="1">
        <f t="shared" si="12"/>
        <v>2932.320000000007</v>
      </c>
    </row>
    <row r="130" spans="1:11" x14ac:dyDescent="0.25">
      <c r="A130" s="5">
        <v>1002831</v>
      </c>
      <c r="B130" s="1" t="s">
        <v>768</v>
      </c>
      <c r="C130" s="1">
        <v>3000038686</v>
      </c>
      <c r="D130" s="1" t="s">
        <v>790</v>
      </c>
      <c r="E130" s="1"/>
      <c r="F130" s="1">
        <v>500</v>
      </c>
      <c r="G130" s="1"/>
      <c r="H130" s="1">
        <v>163.75</v>
      </c>
      <c r="I130" s="3">
        <v>166.15</v>
      </c>
      <c r="J130" s="3">
        <f t="shared" si="11"/>
        <v>2.4000000000000057</v>
      </c>
      <c r="K130" s="1">
        <f t="shared" si="12"/>
        <v>1200.0000000000027</v>
      </c>
    </row>
    <row r="131" spans="1:11" x14ac:dyDescent="0.25">
      <c r="A131" s="5">
        <v>1002831</v>
      </c>
      <c r="B131" s="1" t="s">
        <v>768</v>
      </c>
      <c r="C131" s="1">
        <v>3000038686</v>
      </c>
      <c r="D131" s="1" t="s">
        <v>790</v>
      </c>
      <c r="E131" s="1"/>
      <c r="F131" s="3">
        <v>1376.3</v>
      </c>
      <c r="G131" s="1"/>
      <c r="H131" s="1">
        <v>163.75</v>
      </c>
      <c r="I131" s="3">
        <v>166.15</v>
      </c>
      <c r="J131" s="3">
        <f t="shared" si="11"/>
        <v>2.4000000000000057</v>
      </c>
      <c r="K131" s="1">
        <f t="shared" si="12"/>
        <v>3303.1200000000076</v>
      </c>
    </row>
    <row r="132" spans="1:11" x14ac:dyDescent="0.25">
      <c r="A132" s="5">
        <v>1002831</v>
      </c>
      <c r="B132" s="1" t="s">
        <v>768</v>
      </c>
      <c r="C132" s="1">
        <v>3000038627</v>
      </c>
      <c r="D132" s="1" t="s">
        <v>790</v>
      </c>
      <c r="E132" s="1"/>
      <c r="F132" s="1">
        <v>539.6</v>
      </c>
      <c r="G132" s="1"/>
      <c r="H132" s="1">
        <v>163.75</v>
      </c>
      <c r="I132" s="3">
        <v>166.15</v>
      </c>
      <c r="J132" s="3">
        <f t="shared" si="11"/>
        <v>2.4000000000000057</v>
      </c>
      <c r="K132" s="1">
        <f t="shared" si="12"/>
        <v>1295.0400000000031</v>
      </c>
    </row>
    <row r="133" spans="1:11" x14ac:dyDescent="0.25">
      <c r="A133" s="5">
        <v>1002831</v>
      </c>
      <c r="B133" s="1" t="s">
        <v>768</v>
      </c>
      <c r="C133" s="1">
        <v>3000037833</v>
      </c>
      <c r="D133" s="1" t="s">
        <v>820</v>
      </c>
      <c r="E133" s="1"/>
      <c r="F133" s="1">
        <v>420.2</v>
      </c>
      <c r="G133" s="1"/>
      <c r="H133" s="1">
        <v>163.75</v>
      </c>
      <c r="I133" s="3">
        <v>166.15</v>
      </c>
      <c r="J133" s="3">
        <f t="shared" si="11"/>
        <v>2.4000000000000057</v>
      </c>
      <c r="K133" s="1">
        <f t="shared" si="12"/>
        <v>1008.4800000000024</v>
      </c>
    </row>
    <row r="134" spans="1:11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5"/>
      <c r="B135" s="1"/>
      <c r="C135" s="1"/>
      <c r="D135" s="1"/>
      <c r="E135" s="1"/>
      <c r="F135" s="1">
        <f>SUM(F116:F134)</f>
        <v>18339.900000000001</v>
      </c>
      <c r="G135" s="1"/>
      <c r="H135" s="1"/>
      <c r="I135" s="1"/>
      <c r="J135" s="5" t="s">
        <v>58</v>
      </c>
      <c r="K135" s="5">
        <f>SUM(K116:K133)</f>
        <v>44695.870000000097</v>
      </c>
    </row>
    <row r="136" spans="1:11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5" t="s">
        <v>825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5" t="s">
        <v>430</v>
      </c>
      <c r="B139" s="1" t="s">
        <v>169</v>
      </c>
      <c r="C139" s="1" t="s">
        <v>770</v>
      </c>
      <c r="D139" s="1" t="s">
        <v>771</v>
      </c>
      <c r="E139" s="1" t="s">
        <v>618</v>
      </c>
      <c r="F139" s="1" t="s">
        <v>22</v>
      </c>
      <c r="G139" s="1"/>
      <c r="H139" s="1" t="s">
        <v>763</v>
      </c>
      <c r="I139" s="1" t="s">
        <v>764</v>
      </c>
      <c r="J139" s="1" t="s">
        <v>52</v>
      </c>
      <c r="K139" s="1" t="s">
        <v>21</v>
      </c>
    </row>
    <row r="140" spans="1:11" x14ac:dyDescent="0.25">
      <c r="A140" s="5">
        <v>1000609</v>
      </c>
      <c r="B140" s="1" t="s">
        <v>757</v>
      </c>
      <c r="C140" s="1">
        <v>3000037883</v>
      </c>
      <c r="D140" s="1" t="s">
        <v>790</v>
      </c>
      <c r="E140" s="1"/>
      <c r="F140" s="1">
        <v>295.7</v>
      </c>
      <c r="G140" s="1"/>
      <c r="H140" s="1">
        <v>163.75</v>
      </c>
      <c r="I140" s="3">
        <v>159.05000000000001</v>
      </c>
      <c r="J140" s="3">
        <f>H140-I140</f>
        <v>4.6999999999999886</v>
      </c>
      <c r="K140" s="1">
        <f>J140*F140</f>
        <v>1389.7899999999966</v>
      </c>
    </row>
    <row r="141" spans="1:11" x14ac:dyDescent="0.25">
      <c r="A141" s="5">
        <v>1000609</v>
      </c>
      <c r="B141" s="1" t="s">
        <v>757</v>
      </c>
      <c r="C141" s="1">
        <v>3000037883</v>
      </c>
      <c r="D141" s="1" t="s">
        <v>787</v>
      </c>
      <c r="E141" s="1"/>
      <c r="F141" s="3">
        <v>1264.4000000000001</v>
      </c>
      <c r="G141" s="1"/>
      <c r="H141" s="1">
        <v>163.75</v>
      </c>
      <c r="I141" s="3">
        <v>159.05000000000001</v>
      </c>
      <c r="J141" s="3">
        <f t="shared" ref="J141:J152" si="13">H141-I141</f>
        <v>4.6999999999999886</v>
      </c>
      <c r="K141" s="1">
        <f t="shared" ref="K141:K152" si="14">J141*F141</f>
        <v>5942.6799999999857</v>
      </c>
    </row>
    <row r="142" spans="1:11" x14ac:dyDescent="0.25">
      <c r="A142" s="5">
        <v>1000609</v>
      </c>
      <c r="B142" s="1" t="s">
        <v>757</v>
      </c>
      <c r="C142" s="1">
        <v>3000037883</v>
      </c>
      <c r="D142" s="1" t="s">
        <v>819</v>
      </c>
      <c r="E142" s="1"/>
      <c r="F142" s="3">
        <v>1146.5999999999999</v>
      </c>
      <c r="G142" s="1"/>
      <c r="H142" s="1">
        <v>163.75</v>
      </c>
      <c r="I142" s="3">
        <v>159.05000000000001</v>
      </c>
      <c r="J142" s="3">
        <f t="shared" si="13"/>
        <v>4.6999999999999886</v>
      </c>
      <c r="K142" s="1">
        <f t="shared" si="14"/>
        <v>5389.0199999999868</v>
      </c>
    </row>
    <row r="143" spans="1:11" x14ac:dyDescent="0.25">
      <c r="A143" s="5">
        <v>1000609</v>
      </c>
      <c r="B143" s="1" t="s">
        <v>757</v>
      </c>
      <c r="C143" s="1">
        <v>3000037883</v>
      </c>
      <c r="D143" s="1" t="s">
        <v>820</v>
      </c>
      <c r="E143" s="1"/>
      <c r="F143" s="3">
        <v>1106.7</v>
      </c>
      <c r="G143" s="1"/>
      <c r="H143" s="1">
        <v>163.75</v>
      </c>
      <c r="I143" s="3">
        <v>159.05000000000001</v>
      </c>
      <c r="J143" s="3">
        <f t="shared" si="13"/>
        <v>4.6999999999999886</v>
      </c>
      <c r="K143" s="1">
        <f t="shared" si="14"/>
        <v>5201.489999999988</v>
      </c>
    </row>
    <row r="144" spans="1:11" x14ac:dyDescent="0.25">
      <c r="A144" s="5">
        <v>1002817</v>
      </c>
      <c r="B144" s="1" t="s">
        <v>821</v>
      </c>
      <c r="C144" s="1">
        <v>3000038686</v>
      </c>
      <c r="D144" s="1" t="s">
        <v>822</v>
      </c>
      <c r="E144" s="1"/>
      <c r="F144" s="3">
        <v>3123.1</v>
      </c>
      <c r="G144" s="1"/>
      <c r="H144" s="1">
        <v>163.75</v>
      </c>
      <c r="I144" s="3">
        <v>159.05000000000001</v>
      </c>
      <c r="J144" s="3">
        <f t="shared" si="13"/>
        <v>4.6999999999999886</v>
      </c>
      <c r="K144" s="1">
        <f t="shared" si="14"/>
        <v>14678.569999999963</v>
      </c>
    </row>
    <row r="145" spans="1:11" x14ac:dyDescent="0.25">
      <c r="A145" s="5">
        <v>1002817</v>
      </c>
      <c r="B145" s="1" t="s">
        <v>821</v>
      </c>
      <c r="C145" s="1">
        <v>3000038627</v>
      </c>
      <c r="D145" s="1" t="s">
        <v>823</v>
      </c>
      <c r="E145" s="1"/>
      <c r="F145" s="3">
        <v>1227.5</v>
      </c>
      <c r="G145" s="1"/>
      <c r="H145" s="1">
        <v>163.75</v>
      </c>
      <c r="I145" s="3">
        <v>159.05000000000001</v>
      </c>
      <c r="J145" s="3">
        <f t="shared" si="13"/>
        <v>4.6999999999999886</v>
      </c>
      <c r="K145" s="1">
        <f t="shared" si="14"/>
        <v>5769.2499999999864</v>
      </c>
    </row>
    <row r="146" spans="1:11" x14ac:dyDescent="0.25">
      <c r="A146" s="5">
        <v>1002817</v>
      </c>
      <c r="B146" s="1" t="s">
        <v>821</v>
      </c>
      <c r="C146" s="1">
        <v>3000038627</v>
      </c>
      <c r="D146" s="1" t="s">
        <v>790</v>
      </c>
      <c r="E146" s="1"/>
      <c r="F146" s="3">
        <v>1184.0999999999999</v>
      </c>
      <c r="G146" s="1"/>
      <c r="H146" s="1">
        <v>163.75</v>
      </c>
      <c r="I146" s="3">
        <v>159.05000000000001</v>
      </c>
      <c r="J146" s="3">
        <f t="shared" si="13"/>
        <v>4.6999999999999886</v>
      </c>
      <c r="K146" s="1">
        <f t="shared" si="14"/>
        <v>5565.2699999999859</v>
      </c>
    </row>
    <row r="147" spans="1:11" x14ac:dyDescent="0.25">
      <c r="A147" s="5">
        <v>1002820</v>
      </c>
      <c r="B147" s="1" t="s">
        <v>461</v>
      </c>
      <c r="C147" s="1">
        <v>3000037833</v>
      </c>
      <c r="D147" s="1" t="s">
        <v>820</v>
      </c>
      <c r="E147" s="1"/>
      <c r="F147" s="2">
        <v>2009</v>
      </c>
      <c r="G147" s="1"/>
      <c r="H147" s="1">
        <v>163.75</v>
      </c>
      <c r="I147" s="3">
        <v>159.05000000000001</v>
      </c>
      <c r="J147" s="3">
        <f t="shared" si="13"/>
        <v>4.6999999999999886</v>
      </c>
      <c r="K147" s="1">
        <f t="shared" si="14"/>
        <v>9442.2999999999774</v>
      </c>
    </row>
    <row r="148" spans="1:11" x14ac:dyDescent="0.25">
      <c r="A148" s="5">
        <v>1002821</v>
      </c>
      <c r="B148" s="1" t="s">
        <v>767</v>
      </c>
      <c r="C148" s="1">
        <v>3000038627</v>
      </c>
      <c r="D148" s="1" t="s">
        <v>794</v>
      </c>
      <c r="E148" s="1"/>
      <c r="F148" s="1">
        <v>495</v>
      </c>
      <c r="G148" s="1"/>
      <c r="H148" s="1">
        <v>163.75</v>
      </c>
      <c r="I148" s="3">
        <v>159.05000000000001</v>
      </c>
      <c r="J148" s="3">
        <f t="shared" si="13"/>
        <v>4.6999999999999886</v>
      </c>
      <c r="K148" s="1">
        <f t="shared" si="14"/>
        <v>2326.4999999999945</v>
      </c>
    </row>
    <row r="149" spans="1:11" x14ac:dyDescent="0.25">
      <c r="A149" s="5">
        <v>1002821</v>
      </c>
      <c r="B149" s="1" t="s">
        <v>767</v>
      </c>
      <c r="C149" s="1">
        <v>3000038686</v>
      </c>
      <c r="D149" s="1" t="s">
        <v>794</v>
      </c>
      <c r="E149" s="1"/>
      <c r="F149" s="3">
        <v>1036.5999999999999</v>
      </c>
      <c r="G149" s="1"/>
      <c r="H149" s="1">
        <v>163.75</v>
      </c>
      <c r="I149" s="3">
        <v>159.05000000000001</v>
      </c>
      <c r="J149" s="3">
        <f t="shared" si="13"/>
        <v>4.6999999999999886</v>
      </c>
      <c r="K149" s="1">
        <f t="shared" si="14"/>
        <v>4872.0199999999877</v>
      </c>
    </row>
    <row r="150" spans="1:11" x14ac:dyDescent="0.25">
      <c r="A150" s="5">
        <v>1002821</v>
      </c>
      <c r="B150" s="1" t="s">
        <v>767</v>
      </c>
      <c r="C150" s="1">
        <v>3000038686</v>
      </c>
      <c r="D150" s="1" t="s">
        <v>794</v>
      </c>
      <c r="E150" s="1"/>
      <c r="F150" s="1">
        <v>500</v>
      </c>
      <c r="G150" s="1"/>
      <c r="H150" s="1">
        <v>163.75</v>
      </c>
      <c r="I150" s="3">
        <v>159.05000000000001</v>
      </c>
      <c r="J150" s="3">
        <f t="shared" si="13"/>
        <v>4.6999999999999886</v>
      </c>
      <c r="K150" s="1">
        <f t="shared" si="14"/>
        <v>2349.9999999999945</v>
      </c>
    </row>
    <row r="151" spans="1:11" x14ac:dyDescent="0.25">
      <c r="A151" s="5">
        <v>1002821</v>
      </c>
      <c r="B151" s="1" t="s">
        <v>767</v>
      </c>
      <c r="C151" s="1">
        <v>3000037833</v>
      </c>
      <c r="D151" s="1" t="s">
        <v>820</v>
      </c>
      <c r="E151" s="1"/>
      <c r="F151" s="1">
        <v>0.2</v>
      </c>
      <c r="G151" s="1"/>
      <c r="H151" s="1">
        <v>163.75</v>
      </c>
      <c r="I151" s="3">
        <v>159.05000000000001</v>
      </c>
      <c r="J151" s="3">
        <f t="shared" si="13"/>
        <v>4.6999999999999886</v>
      </c>
      <c r="K151" s="1">
        <f t="shared" si="14"/>
        <v>0.93999999999999773</v>
      </c>
    </row>
    <row r="152" spans="1:11" x14ac:dyDescent="0.25">
      <c r="A152" s="5">
        <v>1002821</v>
      </c>
      <c r="B152" s="1" t="s">
        <v>767</v>
      </c>
      <c r="C152" s="1">
        <v>3000037833</v>
      </c>
      <c r="D152" s="1" t="s">
        <v>820</v>
      </c>
      <c r="E152" s="1"/>
      <c r="F152" s="1">
        <v>893.1</v>
      </c>
      <c r="G152" s="1"/>
      <c r="H152" s="1">
        <v>163.75</v>
      </c>
      <c r="I152" s="3">
        <v>159.05000000000001</v>
      </c>
      <c r="J152" s="3">
        <f t="shared" si="13"/>
        <v>4.6999999999999886</v>
      </c>
      <c r="K152" s="1">
        <f t="shared" si="14"/>
        <v>4197.5699999999897</v>
      </c>
    </row>
    <row r="153" spans="1:11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5"/>
      <c r="B154" s="1"/>
      <c r="C154" s="1"/>
      <c r="D154" s="1"/>
      <c r="E154" s="1"/>
      <c r="F154" s="1">
        <f>SUM(F140:F153)</f>
        <v>14282.000000000002</v>
      </c>
      <c r="G154" s="1"/>
      <c r="H154" s="1"/>
      <c r="I154" s="1"/>
      <c r="J154" s="5" t="s">
        <v>58</v>
      </c>
      <c r="K154" s="5">
        <f>SUM(K140:K152)</f>
        <v>67125.399999999834</v>
      </c>
    </row>
    <row r="155" spans="1:11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5" t="s">
        <v>782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5" t="s">
        <v>430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5"/>
      <c r="B159" s="1" t="s">
        <v>169</v>
      </c>
      <c r="C159" s="1" t="s">
        <v>770</v>
      </c>
      <c r="D159" s="1" t="s">
        <v>771</v>
      </c>
      <c r="E159" s="1" t="s">
        <v>618</v>
      </c>
      <c r="F159" s="1" t="s">
        <v>22</v>
      </c>
      <c r="G159" s="1"/>
      <c r="H159" s="1" t="s">
        <v>763</v>
      </c>
      <c r="I159" s="1" t="s">
        <v>764</v>
      </c>
      <c r="J159" s="1" t="s">
        <v>52</v>
      </c>
      <c r="K159" s="1" t="s">
        <v>21</v>
      </c>
    </row>
    <row r="160" spans="1:11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5" t="s">
        <v>819</v>
      </c>
      <c r="B161" s="1" t="s">
        <v>158</v>
      </c>
      <c r="C161" s="1">
        <v>3000033432</v>
      </c>
      <c r="D161" s="1" t="s">
        <v>819</v>
      </c>
      <c r="E161" s="1">
        <v>5000276409</v>
      </c>
      <c r="F161" s="1">
        <v>452</v>
      </c>
      <c r="G161" s="1"/>
      <c r="H161" s="4">
        <v>74.75</v>
      </c>
      <c r="I161" s="4">
        <v>75.05</v>
      </c>
      <c r="J161" s="1">
        <f t="shared" ref="J161" si="15">I161-H161</f>
        <v>0.29999999999999716</v>
      </c>
      <c r="K161" s="1">
        <f t="shared" ref="K161" si="16">J161*F161</f>
        <v>135.59999999999872</v>
      </c>
    </row>
    <row r="162" spans="1:11" x14ac:dyDescent="0.25">
      <c r="A162" s="5"/>
      <c r="B162" s="1"/>
      <c r="C162" s="1"/>
      <c r="D162" s="1"/>
      <c r="E162" s="1"/>
      <c r="F162" s="2"/>
      <c r="G162" s="1"/>
      <c r="H162" s="2"/>
      <c r="I162" s="1"/>
      <c r="J162" s="1"/>
      <c r="K162" s="1"/>
    </row>
    <row r="163" spans="1:11" x14ac:dyDescent="0.25">
      <c r="A163" s="5"/>
      <c r="B163" s="1"/>
      <c r="C163" s="1"/>
      <c r="D163" s="1"/>
      <c r="E163" s="1"/>
      <c r="F163" s="1"/>
      <c r="G163" s="1"/>
      <c r="H163" s="1"/>
      <c r="I163" s="1"/>
      <c r="J163" s="5" t="s">
        <v>58</v>
      </c>
      <c r="K163" s="5">
        <v>135.6</v>
      </c>
    </row>
    <row r="164" spans="1:1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x14ac:dyDescent="0.25">
      <c r="A166" s="5" t="s">
        <v>782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5" t="s">
        <v>784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5"/>
      <c r="B168" s="1" t="s">
        <v>169</v>
      </c>
      <c r="C168" s="1" t="s">
        <v>770</v>
      </c>
      <c r="D168" s="1" t="s">
        <v>771</v>
      </c>
      <c r="E168" s="1" t="s">
        <v>618</v>
      </c>
      <c r="F168" s="1" t="s">
        <v>22</v>
      </c>
      <c r="G168" s="1"/>
      <c r="H168" s="1" t="s">
        <v>763</v>
      </c>
      <c r="I168" s="1" t="s">
        <v>764</v>
      </c>
      <c r="J168" s="1" t="s">
        <v>52</v>
      </c>
      <c r="K168" s="1" t="s">
        <v>21</v>
      </c>
    </row>
    <row r="169" spans="1:11" x14ac:dyDescent="0.25">
      <c r="A169" s="5" t="s">
        <v>819</v>
      </c>
      <c r="B169" s="1" t="s">
        <v>88</v>
      </c>
      <c r="C169" s="1">
        <v>3000037029</v>
      </c>
      <c r="D169" s="5" t="s">
        <v>826</v>
      </c>
      <c r="E169" s="1">
        <v>5000276467</v>
      </c>
      <c r="F169" s="1">
        <v>311</v>
      </c>
      <c r="G169" s="1"/>
      <c r="H169" s="1">
        <v>72.5</v>
      </c>
      <c r="I169" s="4">
        <v>76.3</v>
      </c>
      <c r="J169" s="1">
        <f t="shared" ref="J169:J182" si="17">I169-H169</f>
        <v>3.7999999999999972</v>
      </c>
      <c r="K169" s="1">
        <f t="shared" ref="K169:K182" si="18">J169*F169</f>
        <v>1181.799999999999</v>
      </c>
    </row>
    <row r="170" spans="1:11" x14ac:dyDescent="0.25">
      <c r="A170" s="5" t="s">
        <v>819</v>
      </c>
      <c r="B170" s="1" t="s">
        <v>88</v>
      </c>
      <c r="C170" s="1">
        <v>3000037210</v>
      </c>
      <c r="D170" s="5" t="s">
        <v>702</v>
      </c>
      <c r="E170" s="1">
        <v>5000276467</v>
      </c>
      <c r="F170" s="1">
        <v>690</v>
      </c>
      <c r="G170" s="1"/>
      <c r="H170" s="1">
        <v>72.5</v>
      </c>
      <c r="I170" s="4">
        <v>76.3</v>
      </c>
      <c r="J170" s="1">
        <f t="shared" si="17"/>
        <v>3.7999999999999972</v>
      </c>
      <c r="K170" s="1">
        <f t="shared" si="18"/>
        <v>2621.9999999999982</v>
      </c>
    </row>
    <row r="171" spans="1:11" x14ac:dyDescent="0.25">
      <c r="A171" s="5" t="s">
        <v>819</v>
      </c>
      <c r="B171" s="1" t="s">
        <v>224</v>
      </c>
      <c r="C171" s="1">
        <v>3000034258</v>
      </c>
      <c r="D171" s="5" t="s">
        <v>827</v>
      </c>
      <c r="E171" s="1">
        <v>5000276467</v>
      </c>
      <c r="F171" s="2">
        <v>1000</v>
      </c>
      <c r="G171" s="1"/>
      <c r="H171" s="1">
        <v>72.5</v>
      </c>
      <c r="I171" s="4">
        <v>76.3</v>
      </c>
      <c r="J171" s="1">
        <f t="shared" si="17"/>
        <v>3.7999999999999972</v>
      </c>
      <c r="K171" s="1">
        <f t="shared" si="18"/>
        <v>3799.9999999999973</v>
      </c>
    </row>
    <row r="172" spans="1:11" x14ac:dyDescent="0.25">
      <c r="A172" s="5" t="s">
        <v>791</v>
      </c>
      <c r="B172" s="1" t="s">
        <v>484</v>
      </c>
      <c r="C172" s="5">
        <v>3000038692</v>
      </c>
      <c r="D172" s="5" t="s">
        <v>828</v>
      </c>
      <c r="E172" s="5">
        <v>5000279028</v>
      </c>
      <c r="F172" s="2">
        <v>546</v>
      </c>
      <c r="G172" s="1" t="s">
        <v>392</v>
      </c>
      <c r="H172" s="1">
        <v>76.400000000000006</v>
      </c>
      <c r="I172" s="4">
        <v>76.8</v>
      </c>
      <c r="J172" s="1">
        <f t="shared" si="17"/>
        <v>0.39999999999999147</v>
      </c>
      <c r="K172" s="1">
        <f t="shared" si="18"/>
        <v>218.39999999999534</v>
      </c>
    </row>
    <row r="173" spans="1:11" x14ac:dyDescent="0.25">
      <c r="A173" s="5" t="s">
        <v>794</v>
      </c>
      <c r="B173" s="1" t="s">
        <v>484</v>
      </c>
      <c r="C173" s="1">
        <v>3000038692</v>
      </c>
      <c r="D173" s="5" t="s">
        <v>828</v>
      </c>
      <c r="E173" s="5">
        <v>5000278759</v>
      </c>
      <c r="F173" s="2">
        <v>697</v>
      </c>
      <c r="G173" s="1" t="s">
        <v>392</v>
      </c>
      <c r="H173" s="1">
        <v>76.400000000000006</v>
      </c>
      <c r="I173" s="4">
        <v>76.8</v>
      </c>
      <c r="J173" s="1">
        <f t="shared" si="17"/>
        <v>0.39999999999999147</v>
      </c>
      <c r="K173" s="1">
        <f t="shared" si="18"/>
        <v>278.79999999999404</v>
      </c>
    </row>
    <row r="174" spans="1:11" x14ac:dyDescent="0.25">
      <c r="A174" s="5" t="s">
        <v>823</v>
      </c>
      <c r="B174" s="1" t="s">
        <v>89</v>
      </c>
      <c r="C174" s="1">
        <v>3000038692</v>
      </c>
      <c r="D174" s="5" t="s">
        <v>828</v>
      </c>
      <c r="E174" s="5">
        <v>5000279815</v>
      </c>
      <c r="F174" s="2">
        <v>553</v>
      </c>
      <c r="G174" s="1" t="s">
        <v>392</v>
      </c>
      <c r="H174" s="1">
        <v>76.400000000000006</v>
      </c>
      <c r="I174" s="4">
        <v>76.8</v>
      </c>
      <c r="J174" s="1">
        <f t="shared" si="17"/>
        <v>0.39999999999999147</v>
      </c>
      <c r="K174" s="1">
        <f t="shared" si="18"/>
        <v>221.19999999999527</v>
      </c>
    </row>
    <row r="175" spans="1:11" x14ac:dyDescent="0.25">
      <c r="A175" s="5" t="s">
        <v>829</v>
      </c>
      <c r="B175" s="1" t="s">
        <v>89</v>
      </c>
      <c r="C175" s="1">
        <v>3000038692</v>
      </c>
      <c r="D175" s="5" t="s">
        <v>828</v>
      </c>
      <c r="E175" s="5">
        <v>5000279409</v>
      </c>
      <c r="F175" s="2">
        <v>1301</v>
      </c>
      <c r="G175" s="1" t="s">
        <v>392</v>
      </c>
      <c r="H175" s="1">
        <v>76.400000000000006</v>
      </c>
      <c r="I175" s="4">
        <v>76.8</v>
      </c>
      <c r="J175" s="1">
        <f t="shared" si="17"/>
        <v>0.39999999999999147</v>
      </c>
      <c r="K175" s="1">
        <f t="shared" si="18"/>
        <v>520.39999999998895</v>
      </c>
    </row>
    <row r="176" spans="1:11" x14ac:dyDescent="0.25">
      <c r="A176" s="5" t="s">
        <v>791</v>
      </c>
      <c r="B176" s="1" t="s">
        <v>89</v>
      </c>
      <c r="C176" s="1">
        <v>3000038692</v>
      </c>
      <c r="D176" s="5" t="s">
        <v>828</v>
      </c>
      <c r="E176" s="5">
        <v>5000279028</v>
      </c>
      <c r="F176" s="2">
        <v>577</v>
      </c>
      <c r="G176" s="1" t="s">
        <v>392</v>
      </c>
      <c r="H176" s="1">
        <v>76.400000000000006</v>
      </c>
      <c r="I176" s="4">
        <v>76.8</v>
      </c>
      <c r="J176" s="1">
        <f t="shared" si="17"/>
        <v>0.39999999999999147</v>
      </c>
      <c r="K176" s="1">
        <f t="shared" si="18"/>
        <v>230.79999999999507</v>
      </c>
    </row>
    <row r="177" spans="1:11" x14ac:dyDescent="0.25">
      <c r="A177" s="5" t="s">
        <v>830</v>
      </c>
      <c r="B177" s="1" t="s">
        <v>89</v>
      </c>
      <c r="C177" s="1">
        <v>3000038692</v>
      </c>
      <c r="D177" s="5" t="s">
        <v>828</v>
      </c>
      <c r="E177" s="5">
        <v>5000277267</v>
      </c>
      <c r="F177" s="2">
        <v>2004</v>
      </c>
      <c r="G177" s="1" t="s">
        <v>392</v>
      </c>
      <c r="H177" s="1">
        <v>76.400000000000006</v>
      </c>
      <c r="I177" s="4">
        <v>76.8</v>
      </c>
      <c r="J177" s="1">
        <f t="shared" si="17"/>
        <v>0.39999999999999147</v>
      </c>
      <c r="K177" s="1">
        <f t="shared" si="18"/>
        <v>801.59999999998286</v>
      </c>
    </row>
    <row r="178" spans="1:11" x14ac:dyDescent="0.25">
      <c r="A178" s="5" t="s">
        <v>791</v>
      </c>
      <c r="B178" s="1" t="s">
        <v>90</v>
      </c>
      <c r="C178" s="1">
        <v>3000038692</v>
      </c>
      <c r="D178" s="5" t="s">
        <v>828</v>
      </c>
      <c r="E178" s="5">
        <v>5000279028</v>
      </c>
      <c r="F178" s="2">
        <v>1038</v>
      </c>
      <c r="G178" s="1" t="s">
        <v>392</v>
      </c>
      <c r="H178" s="190">
        <v>75.7</v>
      </c>
      <c r="I178" s="4">
        <v>76.05</v>
      </c>
      <c r="J178" s="1">
        <f t="shared" si="17"/>
        <v>0.34999999999999432</v>
      </c>
      <c r="K178" s="1">
        <f t="shared" si="18"/>
        <v>363.2999999999941</v>
      </c>
    </row>
    <row r="179" spans="1:11" x14ac:dyDescent="0.25">
      <c r="A179" s="5" t="s">
        <v>831</v>
      </c>
      <c r="B179" s="1" t="s">
        <v>91</v>
      </c>
      <c r="C179" s="1">
        <v>3000038692</v>
      </c>
      <c r="D179" s="5" t="s">
        <v>828</v>
      </c>
      <c r="E179" s="5">
        <v>5000280682</v>
      </c>
      <c r="F179" s="2">
        <v>648</v>
      </c>
      <c r="G179" s="1" t="s">
        <v>392</v>
      </c>
      <c r="H179" s="190">
        <v>75.7</v>
      </c>
      <c r="I179" s="4">
        <v>76.05</v>
      </c>
      <c r="J179" s="1">
        <f t="shared" si="17"/>
        <v>0.34999999999999432</v>
      </c>
      <c r="K179" s="1">
        <f t="shared" si="18"/>
        <v>226.79999999999632</v>
      </c>
    </row>
    <row r="180" spans="1:11" x14ac:dyDescent="0.25">
      <c r="A180" s="5" t="s">
        <v>831</v>
      </c>
      <c r="B180" s="1" t="s">
        <v>91</v>
      </c>
      <c r="C180" s="1">
        <v>3000038692</v>
      </c>
      <c r="D180" s="5" t="s">
        <v>828</v>
      </c>
      <c r="E180" s="5">
        <v>5000280682</v>
      </c>
      <c r="F180" s="2">
        <v>1148</v>
      </c>
      <c r="G180" s="1" t="s">
        <v>392</v>
      </c>
      <c r="H180" s="190">
        <v>75.7</v>
      </c>
      <c r="I180" s="4">
        <v>76.05</v>
      </c>
      <c r="J180" s="1">
        <f t="shared" si="17"/>
        <v>0.34999999999999432</v>
      </c>
      <c r="K180" s="1">
        <f t="shared" si="18"/>
        <v>401.79999999999347</v>
      </c>
    </row>
    <row r="181" spans="1:11" x14ac:dyDescent="0.25">
      <c r="A181" s="5" t="s">
        <v>789</v>
      </c>
      <c r="B181" s="1" t="s">
        <v>91</v>
      </c>
      <c r="C181" s="1">
        <v>3000038692</v>
      </c>
      <c r="D181" s="5" t="s">
        <v>828</v>
      </c>
      <c r="E181" s="5">
        <v>5000276310</v>
      </c>
      <c r="F181" s="2">
        <v>852</v>
      </c>
      <c r="G181" s="1" t="s">
        <v>392</v>
      </c>
      <c r="H181" s="190">
        <v>75.7</v>
      </c>
      <c r="I181" s="4">
        <v>76.05</v>
      </c>
      <c r="J181" s="1">
        <f t="shared" si="17"/>
        <v>0.34999999999999432</v>
      </c>
      <c r="K181" s="1">
        <f t="shared" si="18"/>
        <v>298.19999999999516</v>
      </c>
    </row>
    <row r="182" spans="1:11" x14ac:dyDescent="0.25">
      <c r="A182" s="5" t="s">
        <v>832</v>
      </c>
      <c r="B182" s="1" t="s">
        <v>743</v>
      </c>
      <c r="C182" s="1">
        <v>3000038897</v>
      </c>
      <c r="D182" s="5" t="s">
        <v>833</v>
      </c>
      <c r="E182" s="5">
        <v>5000278020</v>
      </c>
      <c r="F182" s="2">
        <v>1990</v>
      </c>
      <c r="G182" s="1" t="s">
        <v>392</v>
      </c>
      <c r="H182" s="190">
        <v>75.7</v>
      </c>
      <c r="I182" s="4">
        <v>76.05</v>
      </c>
      <c r="J182" s="1">
        <f t="shared" si="17"/>
        <v>0.34999999999999432</v>
      </c>
      <c r="K182" s="1">
        <f t="shared" si="18"/>
        <v>696.49999999998863</v>
      </c>
    </row>
    <row r="183" spans="1:11" x14ac:dyDescent="0.25">
      <c r="A183" s="5"/>
      <c r="B183" s="1"/>
      <c r="C183" s="1"/>
      <c r="D183" s="5"/>
      <c r="E183" s="1"/>
      <c r="F183" s="2"/>
      <c r="G183" s="1"/>
      <c r="H183" s="1"/>
      <c r="I183" s="4"/>
      <c r="J183" s="1"/>
      <c r="K183" s="1"/>
    </row>
    <row r="184" spans="1:11" x14ac:dyDescent="0.25">
      <c r="A184" s="5"/>
      <c r="B184" s="1"/>
      <c r="C184" s="1"/>
      <c r="D184" s="5"/>
      <c r="E184" s="1"/>
      <c r="F184" s="1"/>
      <c r="G184" s="1"/>
      <c r="H184" s="1"/>
      <c r="I184" s="1"/>
      <c r="J184" s="1"/>
      <c r="K184" s="1"/>
    </row>
    <row r="185" spans="1:11" x14ac:dyDescent="0.25">
      <c r="A185" s="5"/>
      <c r="B185" s="1"/>
      <c r="C185" s="1"/>
      <c r="D185" s="5"/>
      <c r="E185" s="1"/>
      <c r="F185" s="1">
        <f>SUM(F169:F184)</f>
        <v>13355</v>
      </c>
      <c r="G185" s="1"/>
      <c r="H185" s="1"/>
      <c r="I185" s="1"/>
      <c r="J185" s="5" t="s">
        <v>58</v>
      </c>
      <c r="K185" s="5">
        <f>SUM(K169:K182)</f>
        <v>11861.599999999913</v>
      </c>
    </row>
    <row r="186" spans="1:11" x14ac:dyDescent="0.25">
      <c r="A186" s="5"/>
      <c r="B186" s="1"/>
      <c r="C186" s="1"/>
      <c r="D186" s="5"/>
      <c r="E186" s="1"/>
      <c r="F186" s="1"/>
      <c r="G186" s="1"/>
      <c r="H186" s="1"/>
      <c r="I186" s="1"/>
      <c r="J186" s="1"/>
      <c r="K186" s="1"/>
    </row>
    <row r="187" spans="1:11" x14ac:dyDescent="0.25">
      <c r="A187" s="26"/>
      <c r="B187" s="8"/>
      <c r="C187" s="8"/>
      <c r="D187" s="26"/>
      <c r="E187" s="8"/>
      <c r="F187" s="8"/>
      <c r="G187" s="8"/>
      <c r="H187" s="8"/>
      <c r="I187" s="8"/>
      <c r="J187" s="8"/>
      <c r="K187" s="8"/>
    </row>
    <row r="188" spans="1:11" x14ac:dyDescent="0.25">
      <c r="A188" s="26"/>
      <c r="B188" s="8"/>
      <c r="C188" s="8"/>
      <c r="D188" s="26"/>
      <c r="E188" s="8"/>
      <c r="F188" s="8"/>
      <c r="G188" s="8"/>
      <c r="H188" s="8"/>
      <c r="I188" s="8"/>
      <c r="J188" s="8"/>
      <c r="K188" s="8"/>
    </row>
    <row r="189" spans="1:11" x14ac:dyDescent="0.25">
      <c r="A189" s="5"/>
      <c r="B189" s="1" t="s">
        <v>169</v>
      </c>
      <c r="C189" s="1" t="s">
        <v>770</v>
      </c>
      <c r="D189" s="1" t="s">
        <v>771</v>
      </c>
      <c r="E189" s="1" t="s">
        <v>618</v>
      </c>
      <c r="F189" s="1" t="s">
        <v>22</v>
      </c>
      <c r="G189" s="1"/>
      <c r="H189" s="1" t="s">
        <v>763</v>
      </c>
      <c r="I189" s="1" t="s">
        <v>764</v>
      </c>
      <c r="J189" s="1" t="s">
        <v>52</v>
      </c>
      <c r="K189" s="1" t="s">
        <v>21</v>
      </c>
    </row>
    <row r="190" spans="1:11" x14ac:dyDescent="0.25">
      <c r="A190" s="5" t="s">
        <v>831</v>
      </c>
      <c r="B190" s="1" t="s">
        <v>281</v>
      </c>
      <c r="C190" s="1">
        <v>3000035950</v>
      </c>
      <c r="D190" s="5" t="s">
        <v>831</v>
      </c>
      <c r="E190" s="5">
        <v>5000280715</v>
      </c>
      <c r="F190" s="2">
        <v>16038</v>
      </c>
      <c r="G190" s="1" t="s">
        <v>0</v>
      </c>
      <c r="H190" s="1">
        <v>7885</v>
      </c>
      <c r="I190" s="1">
        <v>9076</v>
      </c>
      <c r="J190" s="1">
        <f>I190-H190</f>
        <v>1191</v>
      </c>
      <c r="K190" s="127">
        <f>J190*F190/1000</f>
        <v>19101.258000000002</v>
      </c>
    </row>
    <row r="191" spans="1:11" x14ac:dyDescent="0.25">
      <c r="A191" s="5" t="s">
        <v>831</v>
      </c>
      <c r="B191" s="1" t="s">
        <v>674</v>
      </c>
      <c r="C191" s="1">
        <v>3000037034</v>
      </c>
      <c r="D191" s="5" t="s">
        <v>831</v>
      </c>
      <c r="E191" s="5">
        <v>5000280671</v>
      </c>
      <c r="F191" s="2">
        <v>50000</v>
      </c>
      <c r="G191" s="1" t="s">
        <v>0</v>
      </c>
      <c r="H191" s="1">
        <v>6313</v>
      </c>
      <c r="I191" s="1">
        <v>6798</v>
      </c>
      <c r="J191" s="1">
        <f t="shared" ref="J191:J192" si="19">I191-H191</f>
        <v>485</v>
      </c>
      <c r="K191" s="127">
        <f t="shared" ref="K191:K192" si="20">J191*F191/1000</f>
        <v>24250</v>
      </c>
    </row>
    <row r="192" spans="1:11" x14ac:dyDescent="0.25">
      <c r="A192" s="5" t="s">
        <v>831</v>
      </c>
      <c r="B192" s="1" t="s">
        <v>674</v>
      </c>
      <c r="C192" s="1">
        <v>3000039350</v>
      </c>
      <c r="D192" s="5" t="s">
        <v>831</v>
      </c>
      <c r="E192" s="5">
        <v>5000280671</v>
      </c>
      <c r="F192" s="2">
        <v>2360</v>
      </c>
      <c r="G192" s="1" t="s">
        <v>0</v>
      </c>
      <c r="H192" s="1">
        <v>6313</v>
      </c>
      <c r="I192" s="1">
        <v>6798</v>
      </c>
      <c r="J192" s="1">
        <f t="shared" si="19"/>
        <v>485</v>
      </c>
      <c r="K192" s="127">
        <f t="shared" si="20"/>
        <v>1144.5999999999999</v>
      </c>
    </row>
    <row r="193" spans="1:11" x14ac:dyDescent="0.25">
      <c r="A193" s="5"/>
      <c r="B193" s="1"/>
      <c r="C193" s="1"/>
      <c r="D193" s="5"/>
      <c r="E193" s="1"/>
      <c r="F193" s="1"/>
      <c r="G193" s="1"/>
      <c r="H193" s="1"/>
      <c r="I193" s="1"/>
      <c r="J193" s="1"/>
      <c r="K193" s="1"/>
    </row>
    <row r="194" spans="1:11" x14ac:dyDescent="0.25">
      <c r="A194" s="5"/>
      <c r="B194" s="1"/>
      <c r="C194" s="1"/>
      <c r="D194" s="5"/>
      <c r="E194" s="1"/>
      <c r="F194" s="1"/>
      <c r="G194" s="1"/>
      <c r="H194" s="1"/>
      <c r="I194" s="1"/>
      <c r="J194" s="1"/>
      <c r="K194" s="1"/>
    </row>
    <row r="195" spans="1:11" x14ac:dyDescent="0.25">
      <c r="A195" s="5"/>
      <c r="B195" s="1"/>
      <c r="C195" s="1"/>
      <c r="D195" s="5"/>
      <c r="E195" s="1"/>
      <c r="F195" s="2">
        <f>SUM(F190:F194)</f>
        <v>68398</v>
      </c>
      <c r="G195" s="1"/>
      <c r="H195" s="1"/>
      <c r="I195" s="1"/>
      <c r="J195" s="5" t="s">
        <v>58</v>
      </c>
      <c r="K195" s="128">
        <f>SUM(K190:K193)</f>
        <v>44495.858</v>
      </c>
    </row>
    <row r="196" spans="1:11" x14ac:dyDescent="0.25">
      <c r="A196" s="26"/>
      <c r="B196" s="8"/>
      <c r="C196" s="8"/>
      <c r="D196" s="26"/>
      <c r="E196" s="8"/>
      <c r="F196" s="8"/>
      <c r="G196" s="8"/>
      <c r="H196" s="8"/>
      <c r="I196" s="8"/>
      <c r="J196" s="8"/>
      <c r="K196" s="8"/>
    </row>
    <row r="197" spans="1:11" x14ac:dyDescent="0.25">
      <c r="A197" s="26"/>
      <c r="B197" s="8"/>
      <c r="C197" s="8"/>
      <c r="D197" s="26"/>
      <c r="E197" s="8"/>
      <c r="F197" s="8"/>
      <c r="G197" s="8"/>
      <c r="H197" s="8"/>
      <c r="I197" s="8"/>
      <c r="J197" s="8"/>
      <c r="K197" s="8"/>
    </row>
    <row r="199" spans="1:11" x14ac:dyDescent="0.25">
      <c r="B199" s="6" t="s">
        <v>834</v>
      </c>
    </row>
    <row r="200" spans="1:11" x14ac:dyDescent="0.25">
      <c r="A200" s="1" t="s">
        <v>436</v>
      </c>
      <c r="B200" s="1" t="s">
        <v>169</v>
      </c>
      <c r="C200" s="1" t="s">
        <v>770</v>
      </c>
      <c r="D200" s="1" t="s">
        <v>771</v>
      </c>
      <c r="E200" s="1" t="s">
        <v>618</v>
      </c>
      <c r="F200" s="1" t="s">
        <v>22</v>
      </c>
      <c r="G200" s="1"/>
    </row>
    <row r="201" spans="1:11" x14ac:dyDescent="0.25">
      <c r="A201" s="1" t="s">
        <v>823</v>
      </c>
      <c r="B201" s="1" t="s">
        <v>626</v>
      </c>
      <c r="C201" s="1">
        <v>3000038736</v>
      </c>
      <c r="D201" s="1">
        <v>103</v>
      </c>
      <c r="E201" s="1">
        <v>5000279772</v>
      </c>
      <c r="F201" s="2">
        <v>8140</v>
      </c>
      <c r="G201" s="1" t="s">
        <v>0</v>
      </c>
      <c r="H201" s="14"/>
    </row>
    <row r="202" spans="1:11" x14ac:dyDescent="0.25">
      <c r="A202" s="1" t="s">
        <v>823</v>
      </c>
      <c r="B202" s="1" t="s">
        <v>626</v>
      </c>
      <c r="C202" s="1">
        <v>3000039208</v>
      </c>
      <c r="D202" s="1">
        <v>103</v>
      </c>
      <c r="E202" s="1">
        <v>5000279772</v>
      </c>
      <c r="F202" s="2">
        <v>1232</v>
      </c>
      <c r="G202" s="1" t="s">
        <v>0</v>
      </c>
      <c r="H202" s="14"/>
    </row>
    <row r="203" spans="1:11" x14ac:dyDescent="0.25">
      <c r="A203" s="1" t="s">
        <v>823</v>
      </c>
      <c r="B203" s="1" t="s">
        <v>626</v>
      </c>
      <c r="C203" s="1">
        <v>3000038736</v>
      </c>
      <c r="D203" s="1">
        <v>103</v>
      </c>
      <c r="E203" s="1">
        <v>5000279772</v>
      </c>
      <c r="F203" s="2">
        <v>827628</v>
      </c>
      <c r="G203" s="1" t="s">
        <v>0</v>
      </c>
      <c r="H203" s="14"/>
    </row>
    <row r="204" spans="1:11" x14ac:dyDescent="0.25">
      <c r="A204" s="1" t="s">
        <v>788</v>
      </c>
      <c r="B204" s="1" t="s">
        <v>626</v>
      </c>
      <c r="C204" s="1">
        <v>3000038637</v>
      </c>
      <c r="D204" s="1">
        <v>103</v>
      </c>
      <c r="E204" s="1">
        <v>5000276642</v>
      </c>
      <c r="F204" s="2">
        <v>10000</v>
      </c>
      <c r="G204" s="1" t="s">
        <v>0</v>
      </c>
      <c r="H204" s="14"/>
    </row>
    <row r="205" spans="1:11" x14ac:dyDescent="0.25">
      <c r="A205" s="1" t="s">
        <v>788</v>
      </c>
      <c r="B205" s="1" t="s">
        <v>626</v>
      </c>
      <c r="C205" s="1">
        <v>3000038201</v>
      </c>
      <c r="D205" s="1">
        <v>103</v>
      </c>
      <c r="E205" s="1">
        <v>5000276642</v>
      </c>
      <c r="F205" s="2">
        <v>401500</v>
      </c>
      <c r="G205" s="1" t="s">
        <v>0</v>
      </c>
      <c r="H205" s="14"/>
    </row>
    <row r="206" spans="1:11" x14ac:dyDescent="0.25">
      <c r="F206" s="14">
        <f>SUM(F201:F205)</f>
        <v>1248500</v>
      </c>
    </row>
  </sheetData>
  <mergeCells count="4">
    <mergeCell ref="G34:J34"/>
    <mergeCell ref="K34:N34"/>
    <mergeCell ref="G47:J47"/>
    <mergeCell ref="K47:N47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zoomScale="86" zoomScaleNormal="86" workbookViewId="0">
      <selection activeCell="B12" sqref="B12"/>
    </sheetView>
  </sheetViews>
  <sheetFormatPr defaultColWidth="19.7109375" defaultRowHeight="15" x14ac:dyDescent="0.25"/>
  <cols>
    <col min="2" max="2" width="21.5703125" bestFit="1" customWidth="1"/>
    <col min="3" max="3" width="34.5703125" style="29" customWidth="1"/>
    <col min="4" max="4" width="13.85546875" bestFit="1" customWidth="1"/>
    <col min="5" max="5" width="14.140625" customWidth="1"/>
    <col min="6" max="7" width="20.42578125" bestFit="1" customWidth="1"/>
    <col min="8" max="8" width="15.140625" customWidth="1"/>
    <col min="9" max="9" width="24" bestFit="1" customWidth="1"/>
    <col min="10" max="10" width="10.85546875" customWidth="1"/>
  </cols>
  <sheetData>
    <row r="2" spans="2:10" ht="21" x14ac:dyDescent="0.35">
      <c r="B2" s="71" t="s">
        <v>781</v>
      </c>
    </row>
    <row r="3" spans="2:10" ht="27" x14ac:dyDescent="0.25">
      <c r="B3" s="27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0" x14ac:dyDescent="0.25">
      <c r="B4" s="182" t="s">
        <v>568</v>
      </c>
      <c r="C4" s="166" t="s">
        <v>99</v>
      </c>
      <c r="D4" s="167">
        <f>'Jan 2017'!D32</f>
        <v>1561445</v>
      </c>
      <c r="E4" s="168" t="s">
        <v>39</v>
      </c>
      <c r="F4" s="168" t="s">
        <v>100</v>
      </c>
      <c r="G4" s="150"/>
      <c r="H4" s="169">
        <f>'Jan 2017'!K33</f>
        <v>24077.159999999963</v>
      </c>
      <c r="I4" s="170" t="s">
        <v>101</v>
      </c>
      <c r="J4" s="168"/>
    </row>
    <row r="5" spans="2:10" x14ac:dyDescent="0.25">
      <c r="B5" s="182" t="s">
        <v>569</v>
      </c>
      <c r="C5" s="166" t="s">
        <v>570</v>
      </c>
      <c r="D5" s="167">
        <f>'Jan 2017'!D33</f>
        <v>1195350</v>
      </c>
      <c r="E5" s="168" t="s">
        <v>39</v>
      </c>
      <c r="F5" s="168" t="s">
        <v>571</v>
      </c>
      <c r="G5" s="150">
        <f>'Jan 2017'!O33</f>
        <v>5922.6000000000067</v>
      </c>
      <c r="H5" s="169"/>
      <c r="I5" s="170" t="s">
        <v>101</v>
      </c>
      <c r="J5" s="168" t="s">
        <v>48</v>
      </c>
    </row>
    <row r="6" spans="2:10" x14ac:dyDescent="0.25">
      <c r="B6" s="183" t="s">
        <v>98</v>
      </c>
      <c r="C6" s="166" t="s">
        <v>102</v>
      </c>
      <c r="D6" s="167">
        <f>'Jan 2017'!D53</f>
        <v>15605</v>
      </c>
      <c r="E6" s="168" t="s">
        <v>23</v>
      </c>
      <c r="F6" s="168" t="s">
        <v>103</v>
      </c>
      <c r="G6" s="150"/>
      <c r="H6" s="150">
        <f>'Jan 2017'!K53</f>
        <v>44110.149999999936</v>
      </c>
      <c r="I6" s="170" t="s">
        <v>101</v>
      </c>
      <c r="J6" s="168" t="s">
        <v>48</v>
      </c>
    </row>
    <row r="7" spans="2:10" x14ac:dyDescent="0.25">
      <c r="B7" s="183" t="s">
        <v>299</v>
      </c>
      <c r="C7" s="166" t="s">
        <v>418</v>
      </c>
      <c r="D7" s="167">
        <f>'Dec 2016'!D82</f>
        <v>52500</v>
      </c>
      <c r="E7" s="168" t="s">
        <v>29</v>
      </c>
      <c r="F7" s="168" t="s">
        <v>419</v>
      </c>
      <c r="G7" s="150">
        <f>'Jan 2017'!J64</f>
        <v>24622.5</v>
      </c>
      <c r="H7" s="169"/>
      <c r="I7" s="170" t="s">
        <v>301</v>
      </c>
      <c r="J7" s="168" t="s">
        <v>48</v>
      </c>
    </row>
    <row r="8" spans="2:10" x14ac:dyDescent="0.25">
      <c r="B8" s="184" t="s">
        <v>777</v>
      </c>
      <c r="C8" s="172" t="s">
        <v>47</v>
      </c>
      <c r="D8" s="173">
        <f>'Jan 2017'!D77</f>
        <v>118375</v>
      </c>
      <c r="E8" s="174" t="s">
        <v>29</v>
      </c>
      <c r="F8" s="174" t="s">
        <v>55</v>
      </c>
      <c r="G8" s="156">
        <f>'Jan 2017'!J77</f>
        <v>16826.25</v>
      </c>
      <c r="H8" s="175"/>
      <c r="I8" s="176" t="s">
        <v>41</v>
      </c>
      <c r="J8" s="174" t="s">
        <v>48</v>
      </c>
    </row>
    <row r="9" spans="2:10" ht="27.75" x14ac:dyDescent="0.25">
      <c r="B9" s="184" t="s">
        <v>778</v>
      </c>
      <c r="C9" s="172" t="s">
        <v>573</v>
      </c>
      <c r="D9" s="173">
        <f>'Jan 2017'!D78</f>
        <v>80375</v>
      </c>
      <c r="E9" s="174" t="s">
        <v>29</v>
      </c>
      <c r="F9" s="174" t="s">
        <v>574</v>
      </c>
      <c r="G9" s="156">
        <f>'Jan 2017'!N77</f>
        <v>6315</v>
      </c>
      <c r="H9" s="175"/>
      <c r="I9" s="176" t="s">
        <v>41</v>
      </c>
      <c r="J9" s="174"/>
    </row>
    <row r="10" spans="2:10" ht="30" x14ac:dyDescent="0.25">
      <c r="B10" s="185" t="s">
        <v>630</v>
      </c>
      <c r="C10" s="172" t="s">
        <v>631</v>
      </c>
      <c r="D10" s="173">
        <f>'Jan 2017'!F93</f>
        <v>569590</v>
      </c>
      <c r="E10" s="174" t="s">
        <v>25</v>
      </c>
      <c r="F10" s="174" t="s">
        <v>634</v>
      </c>
      <c r="G10" s="175">
        <f>'Jan 2017'!K93</f>
        <v>5695.9</v>
      </c>
      <c r="H10" s="175"/>
      <c r="I10" s="176" t="s">
        <v>633</v>
      </c>
      <c r="J10" s="174" t="s">
        <v>48</v>
      </c>
    </row>
    <row r="11" spans="2:10" x14ac:dyDescent="0.25">
      <c r="B11" s="186">
        <v>42736</v>
      </c>
      <c r="C11" s="172" t="s">
        <v>646</v>
      </c>
      <c r="D11" s="177">
        <f>400000</f>
        <v>400000</v>
      </c>
      <c r="E11" s="174" t="s">
        <v>46</v>
      </c>
      <c r="F11" s="174" t="s">
        <v>303</v>
      </c>
      <c r="G11" s="175"/>
      <c r="H11" s="175">
        <f>(D11/13333.33)*3000</f>
        <v>90000.022500005623</v>
      </c>
      <c r="I11" s="176"/>
      <c r="J11" s="174" t="s">
        <v>49</v>
      </c>
    </row>
    <row r="12" spans="2:10" x14ac:dyDescent="0.25">
      <c r="B12" s="185" t="s">
        <v>630</v>
      </c>
      <c r="C12" s="172" t="s">
        <v>640</v>
      </c>
      <c r="D12" s="173">
        <f>'Jan 2017'!D96</f>
        <v>479.54</v>
      </c>
      <c r="E12" s="174"/>
      <c r="F12" s="174">
        <v>8.64</v>
      </c>
      <c r="G12" s="156">
        <f>'Jan 2017'!J98</f>
        <v>4143.2255999999934</v>
      </c>
      <c r="H12" s="175"/>
      <c r="I12" s="176" t="s">
        <v>647</v>
      </c>
      <c r="J12" s="174" t="s">
        <v>48</v>
      </c>
    </row>
    <row r="13" spans="2:10" ht="27" x14ac:dyDescent="0.25">
      <c r="B13" s="183" t="s">
        <v>308</v>
      </c>
      <c r="C13" s="178" t="s">
        <v>30</v>
      </c>
      <c r="D13" s="167">
        <f>'Dec 2016'!D131</f>
        <v>1154.0999999999999</v>
      </c>
      <c r="E13" s="168" t="s">
        <v>23</v>
      </c>
      <c r="F13" s="168" t="s">
        <v>307</v>
      </c>
      <c r="G13" s="169">
        <f>'Dec 2016'!J131</f>
        <v>8367.2250000000004</v>
      </c>
      <c r="H13" s="169"/>
      <c r="I13" s="170" t="s">
        <v>97</v>
      </c>
      <c r="J13" s="168" t="s">
        <v>48</v>
      </c>
    </row>
    <row r="14" spans="2:10" ht="30" x14ac:dyDescent="0.25">
      <c r="B14" s="187" t="s">
        <v>728</v>
      </c>
      <c r="C14" s="62" t="s">
        <v>629</v>
      </c>
      <c r="D14" s="84">
        <f>'Jan 2017'!C175</f>
        <v>69000</v>
      </c>
      <c r="E14" s="56" t="s">
        <v>25</v>
      </c>
      <c r="F14" s="56" t="s">
        <v>779</v>
      </c>
      <c r="G14" s="158">
        <f>'Jan 2017'!J174</f>
        <v>92492.257500000007</v>
      </c>
      <c r="H14" s="84"/>
      <c r="I14" s="96" t="s">
        <v>701</v>
      </c>
      <c r="J14" s="58"/>
    </row>
    <row r="15" spans="2:10" x14ac:dyDescent="0.25">
      <c r="B15" s="188">
        <v>42736</v>
      </c>
      <c r="C15" s="166" t="s">
        <v>780</v>
      </c>
      <c r="D15" s="167">
        <f>'Jan 2017'!F119</f>
        <v>11353.25</v>
      </c>
      <c r="E15" s="168"/>
      <c r="F15" s="168"/>
      <c r="G15" s="169">
        <f>'Jan 2017'!K119</f>
        <v>31221.4375</v>
      </c>
      <c r="H15" s="169"/>
      <c r="I15" s="170" t="s">
        <v>785</v>
      </c>
      <c r="J15" s="168"/>
    </row>
    <row r="16" spans="2:10" x14ac:dyDescent="0.25">
      <c r="B16" s="188">
        <v>42736</v>
      </c>
      <c r="C16" s="166" t="s">
        <v>780</v>
      </c>
      <c r="D16" s="167">
        <f>'Jan 2017'!F131</f>
        <v>5731.1</v>
      </c>
      <c r="E16" s="168"/>
      <c r="F16" s="168"/>
      <c r="G16" s="169">
        <f>'Jan 2017'!K131</f>
        <v>13754.640000000034</v>
      </c>
      <c r="H16" s="169"/>
      <c r="I16" s="170" t="s">
        <v>40</v>
      </c>
      <c r="J16" s="168"/>
    </row>
    <row r="17" spans="2:10" x14ac:dyDescent="0.25">
      <c r="B17" s="188">
        <v>42736</v>
      </c>
      <c r="C17" s="166" t="s">
        <v>786</v>
      </c>
      <c r="D17" s="167">
        <f>'Jan 2017'!F141</f>
        <v>2182.6999999999998</v>
      </c>
      <c r="E17" s="168"/>
      <c r="F17" s="168"/>
      <c r="G17" s="169">
        <f>'Jan 2017'!K141</f>
        <v>705.85999999999672</v>
      </c>
      <c r="H17" s="169"/>
      <c r="I17" s="170"/>
      <c r="J17" s="168"/>
    </row>
    <row r="18" spans="2:10" x14ac:dyDescent="0.25">
      <c r="B18" s="188">
        <v>42736</v>
      </c>
      <c r="C18" s="166" t="s">
        <v>786</v>
      </c>
      <c r="D18" s="167">
        <f>'Jan 2017'!F158</f>
        <v>13519</v>
      </c>
      <c r="E18" s="168"/>
      <c r="F18" s="168"/>
      <c r="G18" s="169">
        <f>'Jan 2017'!K158</f>
        <v>51372.199999999961</v>
      </c>
      <c r="H18" s="169"/>
      <c r="I18" s="170"/>
      <c r="J18" s="168"/>
    </row>
    <row r="19" spans="2:10" x14ac:dyDescent="0.25">
      <c r="B19" s="171"/>
      <c r="C19" s="178"/>
      <c r="D19" s="167"/>
      <c r="E19" s="168"/>
      <c r="F19" s="168"/>
      <c r="G19" s="169"/>
      <c r="H19" s="169"/>
      <c r="I19" s="170"/>
      <c r="J19" s="168"/>
    </row>
    <row r="20" spans="2:10" ht="19.5" x14ac:dyDescent="0.25">
      <c r="B20" s="179"/>
      <c r="C20" s="197" t="s">
        <v>42</v>
      </c>
      <c r="D20" s="198"/>
      <c r="E20" s="180"/>
      <c r="F20" s="180"/>
      <c r="G20" s="93">
        <f>SUM(G4:G19)</f>
        <v>261439.09559999997</v>
      </c>
      <c r="H20" s="93">
        <f>SUM(H4:H19)</f>
        <v>158187.33250000552</v>
      </c>
      <c r="I20" s="94">
        <f>G20+H20</f>
        <v>419626.42810000549</v>
      </c>
      <c r="J20" s="149"/>
    </row>
    <row r="21" spans="2:10" x14ac:dyDescent="0.25">
      <c r="G21" s="141">
        <f>G14+G12+G9</f>
        <v>102950.4831</v>
      </c>
    </row>
    <row r="22" spans="2:10" x14ac:dyDescent="0.25">
      <c r="G22" s="141">
        <f>G20-G21</f>
        <v>158488.61249999999</v>
      </c>
      <c r="H22" s="141">
        <f>G22+H20</f>
        <v>316675.94500000554</v>
      </c>
    </row>
    <row r="23" spans="2:10" x14ac:dyDescent="0.25">
      <c r="H23">
        <v>316676</v>
      </c>
    </row>
    <row r="25" spans="2:10" x14ac:dyDescent="0.25">
      <c r="G25" s="141">
        <f>G20-G14-G9-G12</f>
        <v>158488.61249999996</v>
      </c>
    </row>
    <row r="27" spans="2:10" x14ac:dyDescent="0.25">
      <c r="C27"/>
      <c r="D27" s="18"/>
    </row>
    <row r="28" spans="2:10" x14ac:dyDescent="0.25">
      <c r="C28"/>
      <c r="D28" s="18"/>
    </row>
    <row r="32" spans="2:10" x14ac:dyDescent="0.25">
      <c r="D32" s="104"/>
    </row>
    <row r="33" spans="4:6" x14ac:dyDescent="0.25">
      <c r="D33" s="106"/>
    </row>
    <row r="34" spans="4:6" x14ac:dyDescent="0.25">
      <c r="D34" s="104"/>
    </row>
    <row r="35" spans="4:6" x14ac:dyDescent="0.25">
      <c r="D35" s="141"/>
      <c r="F35" s="142"/>
    </row>
    <row r="39" spans="4:6" x14ac:dyDescent="0.25">
      <c r="F39" s="6"/>
    </row>
  </sheetData>
  <mergeCells count="1">
    <mergeCell ref="C20:D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83"/>
  <sheetViews>
    <sheetView topLeftCell="A85" workbookViewId="0">
      <selection activeCell="B169" sqref="B169"/>
    </sheetView>
  </sheetViews>
  <sheetFormatPr defaultRowHeight="15" x14ac:dyDescent="0.25"/>
  <cols>
    <col min="1" max="1" width="17" customWidth="1"/>
    <col min="2" max="2" width="45.85546875" bestFit="1" customWidth="1"/>
    <col min="3" max="4" width="11" bestFit="1" customWidth="1"/>
    <col min="5" max="5" width="14.140625" bestFit="1" customWidth="1"/>
    <col min="6" max="6" width="12.28515625" bestFit="1" customWidth="1"/>
    <col min="7" max="7" width="12.5703125" bestFit="1" customWidth="1"/>
    <col min="8" max="8" width="13.42578125" bestFit="1" customWidth="1"/>
    <col min="9" max="9" width="13.7109375" bestFit="1" customWidth="1"/>
    <col min="10" max="10" width="10.42578125" bestFit="1" customWidth="1"/>
    <col min="11" max="11" width="12" bestFit="1" customWidth="1"/>
    <col min="13" max="13" width="12.85546875" bestFit="1" customWidth="1"/>
    <col min="14" max="14" width="10.85546875" customWidth="1"/>
    <col min="15" max="15" width="12" bestFit="1" customWidth="1"/>
  </cols>
  <sheetData>
    <row r="2" spans="1:15" x14ac:dyDescent="0.25">
      <c r="H2" s="20"/>
    </row>
    <row r="3" spans="1:15" x14ac:dyDescent="0.25">
      <c r="A3" t="s">
        <v>656</v>
      </c>
    </row>
    <row r="4" spans="1:15" x14ac:dyDescent="0.25">
      <c r="A4" s="1" t="s">
        <v>167</v>
      </c>
      <c r="B4" s="1" t="s">
        <v>169</v>
      </c>
      <c r="C4" s="1"/>
      <c r="D4" s="1" t="s">
        <v>22</v>
      </c>
      <c r="E4" s="1" t="s">
        <v>593</v>
      </c>
      <c r="F4" s="1" t="s">
        <v>592</v>
      </c>
      <c r="G4" s="1" t="s">
        <v>567</v>
      </c>
      <c r="H4" s="1" t="s">
        <v>50</v>
      </c>
      <c r="I4" s="1" t="s">
        <v>466</v>
      </c>
      <c r="J4" s="1" t="s">
        <v>52</v>
      </c>
      <c r="K4" s="1" t="s">
        <v>21</v>
      </c>
      <c r="L4" s="4" t="s">
        <v>506</v>
      </c>
      <c r="M4" s="4" t="s">
        <v>507</v>
      </c>
      <c r="N4" s="1" t="s">
        <v>505</v>
      </c>
      <c r="O4" s="1" t="s">
        <v>504</v>
      </c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1"/>
      <c r="O5" s="127"/>
    </row>
    <row r="6" spans="1:15" x14ac:dyDescent="0.25">
      <c r="A6" s="1">
        <v>1000065</v>
      </c>
      <c r="B6" s="1" t="s">
        <v>80</v>
      </c>
      <c r="C6" s="1" t="s">
        <v>39</v>
      </c>
      <c r="D6" s="2">
        <v>11830</v>
      </c>
      <c r="E6" s="1" t="s">
        <v>732</v>
      </c>
      <c r="F6" s="1">
        <v>5000271469</v>
      </c>
      <c r="G6" s="1"/>
      <c r="H6" s="3">
        <v>41.3</v>
      </c>
      <c r="I6" s="3">
        <v>43.38</v>
      </c>
      <c r="J6" s="3">
        <f t="shared" ref="J6:J10" si="0">I6-H6</f>
        <v>2.0800000000000054</v>
      </c>
      <c r="K6" s="3">
        <f t="shared" ref="K6:K10" si="1">J6*D6/130</f>
        <v>189.28000000000048</v>
      </c>
      <c r="L6" s="4"/>
      <c r="M6" s="4"/>
      <c r="N6" s="1"/>
      <c r="O6" s="127"/>
    </row>
    <row r="7" spans="1:15" x14ac:dyDescent="0.25">
      <c r="A7" s="1">
        <v>1000065</v>
      </c>
      <c r="B7" s="1" t="s">
        <v>80</v>
      </c>
      <c r="C7" s="1" t="s">
        <v>39</v>
      </c>
      <c r="D7" s="2">
        <v>1170</v>
      </c>
      <c r="E7" s="1" t="s">
        <v>732</v>
      </c>
      <c r="F7" s="1">
        <v>5000271469</v>
      </c>
      <c r="G7" s="1"/>
      <c r="H7" s="3">
        <v>41.3</v>
      </c>
      <c r="I7" s="3">
        <v>43.38</v>
      </c>
      <c r="J7" s="3">
        <f t="shared" si="0"/>
        <v>2.0800000000000054</v>
      </c>
      <c r="K7" s="3">
        <f t="shared" si="1"/>
        <v>18.720000000000049</v>
      </c>
      <c r="L7" s="4"/>
      <c r="M7" s="4"/>
      <c r="N7" s="1"/>
      <c r="O7" s="127"/>
    </row>
    <row r="8" spans="1:15" x14ac:dyDescent="0.25">
      <c r="A8" s="1">
        <v>1000065</v>
      </c>
      <c r="B8" s="1" t="s">
        <v>80</v>
      </c>
      <c r="C8" s="1" t="s">
        <v>39</v>
      </c>
      <c r="D8" s="2">
        <v>2600</v>
      </c>
      <c r="E8" s="1" t="s">
        <v>732</v>
      </c>
      <c r="F8" s="1">
        <v>5000271311</v>
      </c>
      <c r="G8" s="1"/>
      <c r="H8" s="3">
        <v>41.3</v>
      </c>
      <c r="I8" s="3">
        <v>43.38</v>
      </c>
      <c r="J8" s="3">
        <f t="shared" si="0"/>
        <v>2.0800000000000054</v>
      </c>
      <c r="K8" s="3">
        <f t="shared" si="1"/>
        <v>41.600000000000108</v>
      </c>
      <c r="L8" s="4"/>
      <c r="M8" s="4"/>
      <c r="N8" s="1"/>
      <c r="O8" s="127"/>
    </row>
    <row r="9" spans="1:15" x14ac:dyDescent="0.25">
      <c r="A9" s="1">
        <v>1000065</v>
      </c>
      <c r="B9" s="1" t="s">
        <v>80</v>
      </c>
      <c r="C9" s="1" t="s">
        <v>39</v>
      </c>
      <c r="D9" s="2">
        <v>13015</v>
      </c>
      <c r="E9" s="1" t="s">
        <v>732</v>
      </c>
      <c r="F9" s="1">
        <v>5000271311</v>
      </c>
      <c r="G9" s="1"/>
      <c r="H9" s="3">
        <v>41.3</v>
      </c>
      <c r="I9" s="3">
        <v>43.38</v>
      </c>
      <c r="J9" s="3">
        <f t="shared" si="0"/>
        <v>2.0800000000000054</v>
      </c>
      <c r="K9" s="3">
        <f t="shared" si="1"/>
        <v>208.24000000000055</v>
      </c>
      <c r="L9" s="4"/>
      <c r="M9" s="4"/>
      <c r="N9" s="1"/>
      <c r="O9" s="127"/>
    </row>
    <row r="10" spans="1:15" x14ac:dyDescent="0.25">
      <c r="A10" s="1">
        <v>1000065</v>
      </c>
      <c r="B10" s="1" t="s">
        <v>80</v>
      </c>
      <c r="C10" s="1" t="s">
        <v>39</v>
      </c>
      <c r="D10" s="2">
        <v>30030</v>
      </c>
      <c r="E10" s="1" t="s">
        <v>732</v>
      </c>
      <c r="F10" s="1">
        <v>5000271311</v>
      </c>
      <c r="G10" s="1"/>
      <c r="H10" s="3">
        <v>41.3</v>
      </c>
      <c r="I10" s="3">
        <v>43.38</v>
      </c>
      <c r="J10" s="3">
        <f t="shared" si="0"/>
        <v>2.0800000000000054</v>
      </c>
      <c r="K10" s="3">
        <f t="shared" si="1"/>
        <v>480.48000000000127</v>
      </c>
      <c r="L10" s="4"/>
      <c r="M10" s="4"/>
      <c r="N10" s="1"/>
      <c r="O10" s="127"/>
    </row>
    <row r="11" spans="1:15" x14ac:dyDescent="0.25">
      <c r="A11" s="1">
        <v>1000074</v>
      </c>
      <c r="B11" s="1" t="s">
        <v>81</v>
      </c>
      <c r="C11" s="1" t="s">
        <v>39</v>
      </c>
      <c r="D11" s="2">
        <v>34190</v>
      </c>
      <c r="E11" s="1" t="s">
        <v>732</v>
      </c>
      <c r="F11" s="1">
        <v>5000271311</v>
      </c>
      <c r="G11" s="1"/>
      <c r="H11" s="3">
        <v>41.3</v>
      </c>
      <c r="I11" s="3">
        <v>43.38</v>
      </c>
      <c r="J11" s="3">
        <f t="shared" ref="J11:J13" si="2">I11-H11</f>
        <v>2.0800000000000054</v>
      </c>
      <c r="K11" s="3">
        <f t="shared" ref="K11:K13" si="3">J11*D11/130</f>
        <v>547.04000000000144</v>
      </c>
      <c r="L11" s="4"/>
      <c r="M11" s="4"/>
      <c r="N11" s="1"/>
      <c r="O11" s="127"/>
    </row>
    <row r="12" spans="1:15" x14ac:dyDescent="0.25">
      <c r="A12" s="1">
        <v>1000074</v>
      </c>
      <c r="B12" s="1" t="s">
        <v>81</v>
      </c>
      <c r="C12" s="1" t="s">
        <v>39</v>
      </c>
      <c r="D12" s="2">
        <v>69810</v>
      </c>
      <c r="E12" s="1" t="s">
        <v>732</v>
      </c>
      <c r="F12" s="1">
        <v>5000271311</v>
      </c>
      <c r="G12" s="1"/>
      <c r="H12" s="3">
        <v>41.3</v>
      </c>
      <c r="I12" s="3">
        <v>43.38</v>
      </c>
      <c r="J12" s="3">
        <f t="shared" si="2"/>
        <v>2.0800000000000054</v>
      </c>
      <c r="K12" s="3">
        <f t="shared" si="3"/>
        <v>1116.9600000000028</v>
      </c>
      <c r="L12" s="4"/>
      <c r="M12" s="4"/>
      <c r="N12" s="1"/>
      <c r="O12" s="127"/>
    </row>
    <row r="13" spans="1:15" x14ac:dyDescent="0.25">
      <c r="A13" s="1">
        <v>1000074</v>
      </c>
      <c r="B13" s="1" t="s">
        <v>81</v>
      </c>
      <c r="C13" s="1" t="s">
        <v>39</v>
      </c>
      <c r="D13" s="2">
        <v>13000</v>
      </c>
      <c r="E13" s="1" t="s">
        <v>733</v>
      </c>
      <c r="F13" s="1">
        <v>5000269653</v>
      </c>
      <c r="G13" s="1"/>
      <c r="H13" s="3">
        <v>41.3</v>
      </c>
      <c r="I13" s="3">
        <v>43.38</v>
      </c>
      <c r="J13" s="3">
        <f t="shared" si="2"/>
        <v>2.0800000000000054</v>
      </c>
      <c r="K13" s="3">
        <f t="shared" si="3"/>
        <v>208.00000000000054</v>
      </c>
      <c r="L13" s="4"/>
      <c r="M13" s="4"/>
      <c r="N13" s="1"/>
      <c r="O13" s="127"/>
    </row>
    <row r="14" spans="1:15" x14ac:dyDescent="0.25">
      <c r="A14" s="1">
        <v>1000107</v>
      </c>
      <c r="B14" s="1" t="s">
        <v>82</v>
      </c>
      <c r="C14" s="1" t="s">
        <v>39</v>
      </c>
      <c r="D14" s="2">
        <v>13000</v>
      </c>
      <c r="E14" s="1" t="s">
        <v>732</v>
      </c>
      <c r="F14" s="1">
        <v>5000271311</v>
      </c>
      <c r="G14" s="1"/>
      <c r="H14" s="3">
        <v>41.3</v>
      </c>
      <c r="I14" s="3">
        <v>43.38</v>
      </c>
      <c r="J14" s="3">
        <f t="shared" ref="J14" si="4">I14-H14</f>
        <v>2.0800000000000054</v>
      </c>
      <c r="K14" s="3">
        <f t="shared" ref="K14" si="5">J14*D14/130</f>
        <v>208.00000000000054</v>
      </c>
      <c r="L14" s="4"/>
      <c r="M14" s="4"/>
      <c r="N14" s="1"/>
      <c r="O14" s="127"/>
    </row>
    <row r="15" spans="1:15" x14ac:dyDescent="0.25">
      <c r="A15" s="1">
        <v>1002351</v>
      </c>
      <c r="B15" s="1" t="s">
        <v>109</v>
      </c>
      <c r="C15" s="1" t="s">
        <v>39</v>
      </c>
      <c r="D15" s="2">
        <v>13000</v>
      </c>
      <c r="E15" s="1" t="s">
        <v>732</v>
      </c>
      <c r="F15" s="1">
        <v>5000271311</v>
      </c>
      <c r="G15" s="1"/>
      <c r="H15" s="3">
        <v>41.3</v>
      </c>
      <c r="I15" s="3">
        <v>43.38</v>
      </c>
      <c r="J15" s="3">
        <f t="shared" ref="J15:J16" si="6">I15-H15</f>
        <v>2.0800000000000054</v>
      </c>
      <c r="K15" s="3">
        <f t="shared" ref="K15" si="7">J15*D15/130</f>
        <v>208.00000000000054</v>
      </c>
      <c r="L15" s="4"/>
      <c r="M15" s="4"/>
      <c r="N15" s="1"/>
      <c r="O15" s="127"/>
    </row>
    <row r="16" spans="1:15" x14ac:dyDescent="0.25">
      <c r="A16" s="1">
        <v>1002653</v>
      </c>
      <c r="B16" s="1" t="s">
        <v>197</v>
      </c>
      <c r="C16" s="1" t="s">
        <v>39</v>
      </c>
      <c r="D16" s="2">
        <v>13650</v>
      </c>
      <c r="E16" s="1" t="s">
        <v>734</v>
      </c>
      <c r="F16" s="1">
        <v>5000275026</v>
      </c>
      <c r="G16" s="1"/>
      <c r="H16" s="3">
        <v>150</v>
      </c>
      <c r="I16" s="3">
        <v>153</v>
      </c>
      <c r="J16" s="3">
        <f t="shared" si="6"/>
        <v>3</v>
      </c>
      <c r="K16" s="3">
        <f>J16*D16/325</f>
        <v>126</v>
      </c>
      <c r="L16" s="4"/>
      <c r="M16" s="4"/>
      <c r="N16" s="1"/>
      <c r="O16" s="127"/>
    </row>
    <row r="17" spans="1:16" x14ac:dyDescent="0.25">
      <c r="A17" s="1">
        <v>1002864</v>
      </c>
      <c r="B17" s="1" t="s">
        <v>482</v>
      </c>
      <c r="C17" s="1" t="s">
        <v>39</v>
      </c>
      <c r="D17" s="2">
        <v>13000</v>
      </c>
      <c r="E17" s="1" t="s">
        <v>735</v>
      </c>
      <c r="F17" s="1">
        <v>5000270382</v>
      </c>
      <c r="G17" s="1"/>
      <c r="H17" s="3">
        <v>150</v>
      </c>
      <c r="I17" s="3">
        <v>153</v>
      </c>
      <c r="J17" s="3">
        <f t="shared" ref="J17:J31" si="8">I17-H17</f>
        <v>3</v>
      </c>
      <c r="K17" s="3">
        <f t="shared" ref="K17:K31" si="9">J17*D17/325</f>
        <v>120</v>
      </c>
      <c r="L17" s="4"/>
      <c r="M17" s="4"/>
      <c r="N17" s="1"/>
      <c r="O17" s="127"/>
    </row>
    <row r="18" spans="1:16" x14ac:dyDescent="0.25">
      <c r="A18" s="1">
        <v>1002864</v>
      </c>
      <c r="B18" s="1" t="s">
        <v>482</v>
      </c>
      <c r="C18" s="1" t="s">
        <v>39</v>
      </c>
      <c r="D18" s="2">
        <v>108550</v>
      </c>
      <c r="E18" s="1" t="s">
        <v>732</v>
      </c>
      <c r="F18" s="1">
        <v>5000271311</v>
      </c>
      <c r="G18" s="1"/>
      <c r="H18" s="3">
        <v>150</v>
      </c>
      <c r="I18" s="3">
        <v>153</v>
      </c>
      <c r="J18" s="3">
        <f t="shared" si="8"/>
        <v>3</v>
      </c>
      <c r="K18" s="3">
        <f t="shared" si="9"/>
        <v>1002</v>
      </c>
      <c r="L18" s="4"/>
      <c r="M18" s="4"/>
      <c r="N18" s="1"/>
      <c r="O18" s="127"/>
    </row>
    <row r="19" spans="1:16" x14ac:dyDescent="0.25">
      <c r="A19" s="1">
        <v>1002864</v>
      </c>
      <c r="B19" s="1" t="s">
        <v>482</v>
      </c>
      <c r="C19" s="1" t="s">
        <v>39</v>
      </c>
      <c r="D19" s="2">
        <v>29250</v>
      </c>
      <c r="E19" s="1" t="s">
        <v>733</v>
      </c>
      <c r="F19" s="1">
        <v>5000269653</v>
      </c>
      <c r="G19" s="1"/>
      <c r="H19" s="3">
        <v>150</v>
      </c>
      <c r="I19" s="3">
        <v>153</v>
      </c>
      <c r="J19" s="3">
        <f t="shared" si="8"/>
        <v>3</v>
      </c>
      <c r="K19" s="3">
        <f t="shared" si="9"/>
        <v>270</v>
      </c>
      <c r="L19" s="4"/>
      <c r="M19" s="4"/>
      <c r="N19" s="1"/>
      <c r="O19" s="127"/>
    </row>
    <row r="20" spans="1:16" x14ac:dyDescent="0.25">
      <c r="A20" s="1">
        <v>1001544</v>
      </c>
      <c r="B20" s="1" t="s">
        <v>589</v>
      </c>
      <c r="C20" s="1" t="s">
        <v>39</v>
      </c>
      <c r="D20" s="2">
        <v>26000</v>
      </c>
      <c r="E20" s="1" t="s">
        <v>732</v>
      </c>
      <c r="F20" s="1">
        <v>5000271311</v>
      </c>
      <c r="G20" s="1"/>
      <c r="H20" s="3">
        <v>161.4</v>
      </c>
      <c r="I20" s="3">
        <v>167.54</v>
      </c>
      <c r="J20" s="3">
        <f>I20-H20</f>
        <v>6.1399999999999864</v>
      </c>
      <c r="K20" s="3">
        <f t="shared" ref="K20" si="10">J20*D20/325</f>
        <v>491.19999999999891</v>
      </c>
      <c r="L20" s="3">
        <v>319</v>
      </c>
      <c r="M20" s="1">
        <f t="shared" ref="M20" si="11">H20*2</f>
        <v>322.8</v>
      </c>
      <c r="N20" s="3">
        <f t="shared" ref="N20" si="12">M20-L20</f>
        <v>3.8000000000000114</v>
      </c>
      <c r="O20" s="127">
        <f t="shared" ref="O20:O23" si="13">N20/650*D20</f>
        <v>152.00000000000045</v>
      </c>
      <c r="P20">
        <f>D20/650</f>
        <v>40</v>
      </c>
    </row>
    <row r="21" spans="1:16" x14ac:dyDescent="0.25">
      <c r="A21" s="1">
        <v>1001948</v>
      </c>
      <c r="B21" s="1" t="s">
        <v>110</v>
      </c>
      <c r="C21" s="1" t="s">
        <v>39</v>
      </c>
      <c r="D21" s="2">
        <v>6500</v>
      </c>
      <c r="E21" s="1" t="s">
        <v>733</v>
      </c>
      <c r="F21" s="1">
        <v>5000269653</v>
      </c>
      <c r="G21" s="1"/>
      <c r="H21" s="3">
        <v>161.4</v>
      </c>
      <c r="I21" s="3">
        <v>167.54</v>
      </c>
      <c r="J21" s="3">
        <f>I21-H21</f>
        <v>6.1399999999999864</v>
      </c>
      <c r="K21" s="3">
        <f t="shared" ref="K21:K23" si="14">J21*D21/325</f>
        <v>122.79999999999973</v>
      </c>
      <c r="L21" s="3">
        <v>319</v>
      </c>
      <c r="M21" s="1">
        <f t="shared" ref="M21:M23" si="15">H21*2</f>
        <v>322.8</v>
      </c>
      <c r="N21" s="3">
        <f t="shared" ref="N21:N23" si="16">M21-L21</f>
        <v>3.8000000000000114</v>
      </c>
      <c r="O21" s="127">
        <f t="shared" si="13"/>
        <v>38.000000000000114</v>
      </c>
    </row>
    <row r="22" spans="1:16" x14ac:dyDescent="0.25">
      <c r="A22" s="1">
        <v>1001948</v>
      </c>
      <c r="B22" s="1" t="s">
        <v>110</v>
      </c>
      <c r="C22" s="1" t="s">
        <v>39</v>
      </c>
      <c r="D22" s="2">
        <v>31700</v>
      </c>
      <c r="E22" s="1" t="s">
        <v>733</v>
      </c>
      <c r="F22" s="1">
        <v>5000269653</v>
      </c>
      <c r="G22" s="1"/>
      <c r="H22" s="3">
        <v>161.4</v>
      </c>
      <c r="I22" s="3">
        <v>167.54</v>
      </c>
      <c r="J22" s="3">
        <f>I22-H22</f>
        <v>6.1399999999999864</v>
      </c>
      <c r="K22" s="3">
        <f t="shared" si="14"/>
        <v>598.88615384615252</v>
      </c>
      <c r="L22" s="3">
        <v>319</v>
      </c>
      <c r="M22" s="1">
        <f t="shared" si="15"/>
        <v>322.8</v>
      </c>
      <c r="N22" s="3">
        <f t="shared" si="16"/>
        <v>3.8000000000000114</v>
      </c>
      <c r="O22" s="127">
        <f t="shared" si="13"/>
        <v>185.32307692307748</v>
      </c>
    </row>
    <row r="23" spans="1:16" x14ac:dyDescent="0.25">
      <c r="A23" s="1">
        <v>1001948</v>
      </c>
      <c r="B23" s="1" t="s">
        <v>110</v>
      </c>
      <c r="C23" s="1" t="s">
        <v>39</v>
      </c>
      <c r="D23" s="2">
        <v>32000</v>
      </c>
      <c r="E23" s="1" t="s">
        <v>733</v>
      </c>
      <c r="F23" s="1">
        <v>5000269653</v>
      </c>
      <c r="G23" s="1"/>
      <c r="H23" s="3">
        <v>161.4</v>
      </c>
      <c r="I23" s="3">
        <v>167.54</v>
      </c>
      <c r="J23" s="3">
        <f>I23-H23</f>
        <v>6.1399999999999864</v>
      </c>
      <c r="K23" s="3">
        <f t="shared" si="14"/>
        <v>604.5538461538448</v>
      </c>
      <c r="L23" s="3">
        <v>319</v>
      </c>
      <c r="M23" s="1">
        <f t="shared" si="15"/>
        <v>322.8</v>
      </c>
      <c r="N23" s="3">
        <f t="shared" si="16"/>
        <v>3.8000000000000114</v>
      </c>
      <c r="O23" s="127">
        <f t="shared" si="13"/>
        <v>187.07692307692363</v>
      </c>
    </row>
    <row r="24" spans="1:16" x14ac:dyDescent="0.25">
      <c r="A24" s="1">
        <v>1002947</v>
      </c>
      <c r="B24" s="1" t="s">
        <v>474</v>
      </c>
      <c r="C24" s="1" t="s">
        <v>39</v>
      </c>
      <c r="D24" s="2">
        <v>604500</v>
      </c>
      <c r="E24" s="1" t="s">
        <v>732</v>
      </c>
      <c r="F24" s="1">
        <v>5000271311</v>
      </c>
      <c r="G24" s="1"/>
      <c r="H24" s="3">
        <v>134.5</v>
      </c>
      <c r="I24" s="3">
        <v>139.41999999999999</v>
      </c>
      <c r="J24" s="3">
        <f t="shared" si="8"/>
        <v>4.9199999999999875</v>
      </c>
      <c r="K24" s="3">
        <f t="shared" si="9"/>
        <v>9151.1999999999771</v>
      </c>
      <c r="L24" s="3">
        <v>266</v>
      </c>
      <c r="M24" s="1">
        <f t="shared" ref="M24:M31" si="17">H24*2</f>
        <v>269</v>
      </c>
      <c r="N24" s="3">
        <f t="shared" ref="N24:N31" si="18">M24-L24</f>
        <v>3</v>
      </c>
      <c r="O24" s="127">
        <f t="shared" ref="O24:O31" si="19">N24/650*D24</f>
        <v>2790.0000000000005</v>
      </c>
    </row>
    <row r="25" spans="1:16" x14ac:dyDescent="0.25">
      <c r="A25" s="1">
        <v>1002947</v>
      </c>
      <c r="B25" s="1" t="s">
        <v>474</v>
      </c>
      <c r="C25" s="1" t="s">
        <v>39</v>
      </c>
      <c r="D25" s="2">
        <v>261300</v>
      </c>
      <c r="E25" s="1" t="s">
        <v>733</v>
      </c>
      <c r="F25" s="1">
        <v>5000269653</v>
      </c>
      <c r="G25" s="1"/>
      <c r="H25" s="3">
        <v>134.5</v>
      </c>
      <c r="I25" s="3">
        <v>139.41999999999999</v>
      </c>
      <c r="J25" s="3">
        <f t="shared" si="8"/>
        <v>4.9199999999999875</v>
      </c>
      <c r="K25" s="3">
        <f t="shared" si="9"/>
        <v>3955.6799999999898</v>
      </c>
      <c r="L25" s="3">
        <v>266</v>
      </c>
      <c r="M25" s="1">
        <f t="shared" si="17"/>
        <v>269</v>
      </c>
      <c r="N25" s="3">
        <f t="shared" si="18"/>
        <v>3</v>
      </c>
      <c r="O25" s="127">
        <f t="shared" si="19"/>
        <v>1206</v>
      </c>
    </row>
    <row r="26" spans="1:16" x14ac:dyDescent="0.25">
      <c r="A26" s="1">
        <v>1003043</v>
      </c>
      <c r="B26" s="1" t="s">
        <v>543</v>
      </c>
      <c r="C26" s="1" t="s">
        <v>39</v>
      </c>
      <c r="D26" s="2">
        <v>13482</v>
      </c>
      <c r="E26" s="1" t="s">
        <v>736</v>
      </c>
      <c r="F26" s="1">
        <v>5000272327</v>
      </c>
      <c r="G26" s="1"/>
      <c r="H26" s="3">
        <v>161.4</v>
      </c>
      <c r="I26" s="3">
        <v>167.54</v>
      </c>
      <c r="J26" s="3">
        <f t="shared" si="8"/>
        <v>6.1399999999999864</v>
      </c>
      <c r="K26" s="3">
        <f t="shared" si="9"/>
        <v>254.70609230769176</v>
      </c>
      <c r="L26" s="3">
        <v>319</v>
      </c>
      <c r="M26" s="1">
        <f t="shared" si="17"/>
        <v>322.8</v>
      </c>
      <c r="N26" s="3">
        <f t="shared" si="18"/>
        <v>3.8000000000000114</v>
      </c>
      <c r="O26" s="127">
        <f t="shared" si="19"/>
        <v>78.817846153846389</v>
      </c>
    </row>
    <row r="27" spans="1:16" x14ac:dyDescent="0.25">
      <c r="A27" s="1">
        <v>1003043</v>
      </c>
      <c r="B27" s="1" t="s">
        <v>543</v>
      </c>
      <c r="C27" s="1" t="s">
        <v>39</v>
      </c>
      <c r="D27" s="2">
        <v>41483</v>
      </c>
      <c r="E27" s="1" t="s">
        <v>736</v>
      </c>
      <c r="F27" s="1">
        <v>5000272327</v>
      </c>
      <c r="G27" s="1"/>
      <c r="H27" s="3">
        <v>161.4</v>
      </c>
      <c r="I27" s="3">
        <v>167.54</v>
      </c>
      <c r="J27" s="3">
        <f t="shared" si="8"/>
        <v>6.1399999999999864</v>
      </c>
      <c r="K27" s="3">
        <f t="shared" si="9"/>
        <v>783.70959999999832</v>
      </c>
      <c r="L27" s="3">
        <v>319</v>
      </c>
      <c r="M27" s="1">
        <f t="shared" si="17"/>
        <v>322.8</v>
      </c>
      <c r="N27" s="3">
        <f t="shared" si="18"/>
        <v>3.8000000000000114</v>
      </c>
      <c r="O27" s="127">
        <f t="shared" si="19"/>
        <v>242.51600000000073</v>
      </c>
    </row>
    <row r="28" spans="1:16" x14ac:dyDescent="0.25">
      <c r="A28" s="1">
        <v>1003043</v>
      </c>
      <c r="B28" s="1" t="s">
        <v>543</v>
      </c>
      <c r="C28" s="1" t="s">
        <v>39</v>
      </c>
      <c r="D28" s="2">
        <v>80885</v>
      </c>
      <c r="E28" s="1" t="s">
        <v>736</v>
      </c>
      <c r="F28" s="1">
        <v>5000272327</v>
      </c>
      <c r="G28" s="1"/>
      <c r="H28" s="3">
        <v>161.4</v>
      </c>
      <c r="I28" s="3">
        <v>167.54</v>
      </c>
      <c r="J28" s="3">
        <f t="shared" si="8"/>
        <v>6.1399999999999864</v>
      </c>
      <c r="K28" s="3">
        <f t="shared" si="9"/>
        <v>1528.1043076923045</v>
      </c>
      <c r="L28" s="3">
        <v>319</v>
      </c>
      <c r="M28" s="1">
        <f t="shared" si="17"/>
        <v>322.8</v>
      </c>
      <c r="N28" s="3">
        <f t="shared" si="18"/>
        <v>3.8000000000000114</v>
      </c>
      <c r="O28" s="127">
        <f t="shared" si="19"/>
        <v>472.86615384615527</v>
      </c>
    </row>
    <row r="29" spans="1:16" x14ac:dyDescent="0.25">
      <c r="A29" s="1">
        <v>1003043</v>
      </c>
      <c r="B29" s="1" t="s">
        <v>543</v>
      </c>
      <c r="C29" s="1" t="s">
        <v>39</v>
      </c>
      <c r="D29" s="2">
        <v>32500</v>
      </c>
      <c r="E29" s="1" t="s">
        <v>737</v>
      </c>
      <c r="F29" s="1">
        <v>5000272172</v>
      </c>
      <c r="G29" s="1"/>
      <c r="H29" s="3">
        <v>161.4</v>
      </c>
      <c r="I29" s="3">
        <v>167.54</v>
      </c>
      <c r="J29" s="3">
        <f t="shared" si="8"/>
        <v>6.1399999999999864</v>
      </c>
      <c r="K29" s="3">
        <f t="shared" si="9"/>
        <v>613.99999999999864</v>
      </c>
      <c r="L29" s="3">
        <v>319</v>
      </c>
      <c r="M29" s="1">
        <f t="shared" si="17"/>
        <v>322.8</v>
      </c>
      <c r="N29" s="3">
        <f t="shared" si="18"/>
        <v>3.8000000000000114</v>
      </c>
      <c r="O29" s="127">
        <f t="shared" si="19"/>
        <v>190.00000000000057</v>
      </c>
    </row>
    <row r="30" spans="1:16" x14ac:dyDescent="0.25">
      <c r="A30" s="1">
        <v>1003043</v>
      </c>
      <c r="B30" s="1" t="s">
        <v>543</v>
      </c>
      <c r="C30" s="1" t="s">
        <v>39</v>
      </c>
      <c r="D30" s="2">
        <v>36800</v>
      </c>
      <c r="E30" s="1" t="s">
        <v>733</v>
      </c>
      <c r="F30" s="1">
        <v>5000269653</v>
      </c>
      <c r="G30" s="1"/>
      <c r="H30" s="3">
        <v>161.4</v>
      </c>
      <c r="I30" s="3">
        <v>167.54</v>
      </c>
      <c r="J30" s="3">
        <f t="shared" si="8"/>
        <v>6.1399999999999864</v>
      </c>
      <c r="K30" s="3">
        <f t="shared" si="9"/>
        <v>695.23692307692158</v>
      </c>
      <c r="L30" s="3">
        <v>319</v>
      </c>
      <c r="M30" s="1">
        <f t="shared" si="17"/>
        <v>322.8</v>
      </c>
      <c r="N30" s="3">
        <f t="shared" si="18"/>
        <v>3.8000000000000114</v>
      </c>
      <c r="O30" s="127">
        <f t="shared" si="19"/>
        <v>215.1384615384622</v>
      </c>
    </row>
    <row r="31" spans="1:16" x14ac:dyDescent="0.25">
      <c r="A31" s="1">
        <v>1003043</v>
      </c>
      <c r="B31" s="1" t="s">
        <v>543</v>
      </c>
      <c r="C31" s="1" t="s">
        <v>39</v>
      </c>
      <c r="D31" s="2">
        <v>28200</v>
      </c>
      <c r="E31" s="1" t="s">
        <v>733</v>
      </c>
      <c r="F31" s="1">
        <v>5000269653</v>
      </c>
      <c r="G31" s="1"/>
      <c r="H31" s="3">
        <v>161.4</v>
      </c>
      <c r="I31" s="3">
        <v>167.54</v>
      </c>
      <c r="J31" s="3">
        <f t="shared" si="8"/>
        <v>6.1399999999999864</v>
      </c>
      <c r="K31" s="3">
        <f t="shared" si="9"/>
        <v>532.7630769230758</v>
      </c>
      <c r="L31" s="3">
        <v>319</v>
      </c>
      <c r="M31" s="1">
        <f t="shared" si="17"/>
        <v>322.8</v>
      </c>
      <c r="N31" s="3">
        <f t="shared" si="18"/>
        <v>3.8000000000000114</v>
      </c>
      <c r="O31" s="127">
        <f t="shared" si="19"/>
        <v>164.86153846153897</v>
      </c>
    </row>
    <row r="32" spans="1:16" x14ac:dyDescent="0.25">
      <c r="A32" s="1"/>
      <c r="B32" s="1"/>
      <c r="C32" s="1"/>
      <c r="D32" s="14">
        <f>SUM(D6:D31)</f>
        <v>1561445</v>
      </c>
      <c r="E32" s="1"/>
      <c r="F32" s="1"/>
      <c r="G32" s="1"/>
      <c r="H32" s="1"/>
      <c r="I32" s="1"/>
      <c r="J32" s="1"/>
      <c r="K32" s="1"/>
      <c r="L32" s="4"/>
      <c r="M32" s="4"/>
      <c r="N32" s="1"/>
      <c r="O32" s="1"/>
    </row>
    <row r="33" spans="1:15" x14ac:dyDescent="0.25">
      <c r="D33" s="14">
        <f>SUM(D20:D31)</f>
        <v>1195350</v>
      </c>
      <c r="J33" t="s">
        <v>58</v>
      </c>
      <c r="K33" s="20">
        <f>SUM(K6:K31)</f>
        <v>24077.159999999963</v>
      </c>
      <c r="O33" s="20">
        <f>SUM(O6:O31)</f>
        <v>5922.6000000000067</v>
      </c>
    </row>
    <row r="35" spans="1:15" x14ac:dyDescent="0.25">
      <c r="A35" t="s">
        <v>663</v>
      </c>
    </row>
    <row r="36" spans="1:15" x14ac:dyDescent="0.25">
      <c r="A36" s="1" t="s">
        <v>438</v>
      </c>
      <c r="B36" s="1" t="s">
        <v>169</v>
      </c>
      <c r="C36" s="1"/>
      <c r="D36" s="1" t="s">
        <v>38</v>
      </c>
      <c r="E36" s="1" t="s">
        <v>594</v>
      </c>
      <c r="F36" s="1" t="s">
        <v>172</v>
      </c>
      <c r="G36" s="1"/>
      <c r="H36" s="1" t="s">
        <v>276</v>
      </c>
      <c r="I36" s="1" t="s">
        <v>170</v>
      </c>
      <c r="J36" s="1" t="s">
        <v>52</v>
      </c>
      <c r="K36" s="1" t="s">
        <v>21</v>
      </c>
      <c r="L36" s="1"/>
      <c r="M36" s="1"/>
      <c r="N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5">
      <c r="A38" s="1">
        <v>1000719</v>
      </c>
      <c r="B38" s="1" t="s">
        <v>484</v>
      </c>
      <c r="C38" s="1" t="s">
        <v>23</v>
      </c>
      <c r="D38" s="1">
        <v>444</v>
      </c>
      <c r="E38" s="1" t="s">
        <v>734</v>
      </c>
      <c r="F38" s="1">
        <v>5000275012</v>
      </c>
      <c r="G38" s="1"/>
      <c r="H38" s="1">
        <v>72.5</v>
      </c>
      <c r="I38" s="1">
        <v>75.349999999999994</v>
      </c>
      <c r="J38" s="1">
        <f t="shared" ref="J38:J46" si="20">I38-H38</f>
        <v>2.8499999999999943</v>
      </c>
      <c r="K38" s="1">
        <f t="shared" ref="K38:K46" si="21">D38*J38</f>
        <v>1265.3999999999974</v>
      </c>
      <c r="L38" s="1"/>
      <c r="M38" s="1"/>
      <c r="N38" s="1"/>
    </row>
    <row r="39" spans="1:15" x14ac:dyDescent="0.25">
      <c r="A39" s="1">
        <v>1000719</v>
      </c>
      <c r="B39" s="1" t="s">
        <v>484</v>
      </c>
      <c r="C39" s="1" t="s">
        <v>23</v>
      </c>
      <c r="D39" s="2">
        <v>1882</v>
      </c>
      <c r="E39" s="1" t="s">
        <v>738</v>
      </c>
      <c r="F39" s="1">
        <v>5000273321</v>
      </c>
      <c r="G39" s="1"/>
      <c r="H39" s="1">
        <v>72.5</v>
      </c>
      <c r="I39" s="1">
        <v>75.349999999999994</v>
      </c>
      <c r="J39" s="1">
        <f t="shared" si="20"/>
        <v>2.8499999999999943</v>
      </c>
      <c r="K39" s="1">
        <f t="shared" si="21"/>
        <v>5363.6999999999889</v>
      </c>
      <c r="L39" s="1"/>
      <c r="M39" s="1"/>
      <c r="N39" s="1"/>
    </row>
    <row r="40" spans="1:15" x14ac:dyDescent="0.25">
      <c r="A40" s="1">
        <v>1000719</v>
      </c>
      <c r="B40" s="1" t="s">
        <v>484</v>
      </c>
      <c r="C40" s="1" t="s">
        <v>23</v>
      </c>
      <c r="D40" s="1">
        <v>483</v>
      </c>
      <c r="E40" s="1" t="s">
        <v>738</v>
      </c>
      <c r="F40" s="1">
        <v>5000273321</v>
      </c>
      <c r="G40" s="1"/>
      <c r="H40" s="1">
        <v>72.5</v>
      </c>
      <c r="I40" s="1">
        <v>75.349999999999994</v>
      </c>
      <c r="J40" s="1">
        <f t="shared" si="20"/>
        <v>2.8499999999999943</v>
      </c>
      <c r="K40" s="1">
        <f t="shared" si="21"/>
        <v>1376.5499999999972</v>
      </c>
      <c r="L40" s="1"/>
      <c r="M40" s="1"/>
      <c r="N40" s="1"/>
    </row>
    <row r="41" spans="1:15" x14ac:dyDescent="0.25">
      <c r="A41" s="1">
        <v>1000719</v>
      </c>
      <c r="B41" s="1" t="s">
        <v>484</v>
      </c>
      <c r="C41" s="1" t="s">
        <v>23</v>
      </c>
      <c r="D41" s="1">
        <v>115</v>
      </c>
      <c r="E41" s="1" t="s">
        <v>738</v>
      </c>
      <c r="F41" s="1">
        <v>5000273321</v>
      </c>
      <c r="G41" s="1"/>
      <c r="H41" s="1">
        <v>72.5</v>
      </c>
      <c r="I41" s="1">
        <v>75.349999999999994</v>
      </c>
      <c r="J41" s="1">
        <f t="shared" si="20"/>
        <v>2.8499999999999943</v>
      </c>
      <c r="K41" s="1">
        <f t="shared" si="21"/>
        <v>327.74999999999932</v>
      </c>
      <c r="L41" s="1"/>
      <c r="M41" s="1"/>
      <c r="N41" s="1"/>
    </row>
    <row r="42" spans="1:15" x14ac:dyDescent="0.25">
      <c r="A42" s="1">
        <v>1000719</v>
      </c>
      <c r="B42" s="1" t="s">
        <v>484</v>
      </c>
      <c r="C42" s="1" t="s">
        <v>23</v>
      </c>
      <c r="D42" s="2">
        <v>1390</v>
      </c>
      <c r="E42" s="1" t="s">
        <v>736</v>
      </c>
      <c r="F42" s="1">
        <v>5000272296</v>
      </c>
      <c r="G42" s="2"/>
      <c r="H42" s="1">
        <v>72.5</v>
      </c>
      <c r="I42" s="1">
        <v>75.349999999999994</v>
      </c>
      <c r="J42" s="1">
        <f t="shared" si="20"/>
        <v>2.8499999999999943</v>
      </c>
      <c r="K42" s="1">
        <f t="shared" si="21"/>
        <v>3961.4999999999923</v>
      </c>
      <c r="L42" s="1"/>
      <c r="M42" s="1"/>
      <c r="N42" s="1"/>
    </row>
    <row r="43" spans="1:15" x14ac:dyDescent="0.25">
      <c r="A43" s="1">
        <v>1000719</v>
      </c>
      <c r="B43" s="1" t="s">
        <v>484</v>
      </c>
      <c r="C43" s="1" t="s">
        <v>23</v>
      </c>
      <c r="D43" s="2">
        <v>1819</v>
      </c>
      <c r="E43" s="1" t="s">
        <v>739</v>
      </c>
      <c r="F43" s="1">
        <v>5000270786</v>
      </c>
      <c r="G43" s="1"/>
      <c r="H43" s="1">
        <v>72.5</v>
      </c>
      <c r="I43" s="1">
        <v>75.349999999999994</v>
      </c>
      <c r="J43" s="1">
        <f t="shared" si="20"/>
        <v>2.8499999999999943</v>
      </c>
      <c r="K43" s="1">
        <f t="shared" si="21"/>
        <v>5184.1499999999896</v>
      </c>
      <c r="L43" s="1"/>
      <c r="M43" s="1"/>
      <c r="N43" s="1"/>
    </row>
    <row r="44" spans="1:15" x14ac:dyDescent="0.25">
      <c r="A44" s="1">
        <v>1000719</v>
      </c>
      <c r="B44" s="1" t="s">
        <v>484</v>
      </c>
      <c r="C44" s="1" t="s">
        <v>23</v>
      </c>
      <c r="D44" s="2">
        <v>2804</v>
      </c>
      <c r="E44" s="1" t="s">
        <v>740</v>
      </c>
      <c r="F44" s="1">
        <v>5000270592</v>
      </c>
      <c r="G44" s="2"/>
      <c r="H44" s="1">
        <v>72.5</v>
      </c>
      <c r="I44" s="1">
        <v>75.349999999999994</v>
      </c>
      <c r="J44" s="1">
        <f t="shared" si="20"/>
        <v>2.8499999999999943</v>
      </c>
      <c r="K44" s="1">
        <f t="shared" si="21"/>
        <v>7991.3999999999842</v>
      </c>
      <c r="L44" s="1"/>
      <c r="M44" s="1"/>
      <c r="N44" s="1"/>
    </row>
    <row r="45" spans="1:15" x14ac:dyDescent="0.25">
      <c r="A45" s="1">
        <v>1000719</v>
      </c>
      <c r="B45" s="1" t="s">
        <v>484</v>
      </c>
      <c r="C45" s="1" t="s">
        <v>23</v>
      </c>
      <c r="D45" s="2">
        <v>1442</v>
      </c>
      <c r="E45" s="1" t="s">
        <v>741</v>
      </c>
      <c r="F45" s="1">
        <v>5000269928</v>
      </c>
      <c r="G45" s="2"/>
      <c r="H45" s="1">
        <v>72.5</v>
      </c>
      <c r="I45" s="1">
        <v>75.349999999999994</v>
      </c>
      <c r="J45" s="1">
        <f t="shared" si="20"/>
        <v>2.8499999999999943</v>
      </c>
      <c r="K45" s="1">
        <f t="shared" si="21"/>
        <v>4109.6999999999916</v>
      </c>
      <c r="L45" s="1"/>
      <c r="M45" s="1"/>
      <c r="N45" s="1"/>
    </row>
    <row r="46" spans="1:15" x14ac:dyDescent="0.25">
      <c r="A46" s="1">
        <v>1000719</v>
      </c>
      <c r="B46" s="1" t="s">
        <v>484</v>
      </c>
      <c r="C46" s="1" t="s">
        <v>23</v>
      </c>
      <c r="D46" s="2">
        <v>1585</v>
      </c>
      <c r="E46" s="1" t="s">
        <v>741</v>
      </c>
      <c r="F46" s="1">
        <v>5000269928</v>
      </c>
      <c r="G46" s="2"/>
      <c r="H46" s="1">
        <v>72.5</v>
      </c>
      <c r="I46" s="1">
        <v>75.349999999999994</v>
      </c>
      <c r="J46" s="1">
        <f t="shared" si="20"/>
        <v>2.8499999999999943</v>
      </c>
      <c r="K46" s="1">
        <f t="shared" si="21"/>
        <v>4517.2499999999909</v>
      </c>
      <c r="L46" s="1"/>
      <c r="M46" s="1"/>
      <c r="N46" s="1"/>
    </row>
    <row r="47" spans="1:15" x14ac:dyDescent="0.25">
      <c r="A47" s="1">
        <v>1001934</v>
      </c>
      <c r="B47" s="1" t="s">
        <v>91</v>
      </c>
      <c r="C47" s="1" t="s">
        <v>23</v>
      </c>
      <c r="D47" s="2">
        <v>1113</v>
      </c>
      <c r="E47" s="1" t="s">
        <v>736</v>
      </c>
      <c r="F47" s="1">
        <v>5000272296</v>
      </c>
      <c r="G47" s="1"/>
      <c r="H47" s="1">
        <v>72</v>
      </c>
      <c r="I47" s="1">
        <v>74.75</v>
      </c>
      <c r="J47" s="1">
        <f t="shared" ref="J47:J48" si="22">I47-H47</f>
        <v>2.75</v>
      </c>
      <c r="K47" s="1">
        <f t="shared" ref="K47:K48" si="23">D47*J47</f>
        <v>3060.75</v>
      </c>
      <c r="L47" s="1"/>
      <c r="M47" s="1"/>
      <c r="N47" s="1"/>
    </row>
    <row r="48" spans="1:15" x14ac:dyDescent="0.25">
      <c r="A48" s="1">
        <v>1001934</v>
      </c>
      <c r="B48" s="1" t="s">
        <v>91</v>
      </c>
      <c r="C48" s="1" t="s">
        <v>23</v>
      </c>
      <c r="D48" s="2">
        <v>1331</v>
      </c>
      <c r="E48" s="1" t="s">
        <v>742</v>
      </c>
      <c r="F48" s="1">
        <v>5000271740</v>
      </c>
      <c r="G48" s="2"/>
      <c r="H48" s="1">
        <v>72</v>
      </c>
      <c r="I48" s="1">
        <v>74.75</v>
      </c>
      <c r="J48" s="1">
        <f t="shared" si="22"/>
        <v>2.75</v>
      </c>
      <c r="K48" s="1">
        <f t="shared" si="23"/>
        <v>3660.25</v>
      </c>
      <c r="L48" s="1"/>
      <c r="M48" s="1"/>
      <c r="N48" s="1"/>
    </row>
    <row r="49" spans="1:14" x14ac:dyDescent="0.25">
      <c r="A49" s="1">
        <v>1003198</v>
      </c>
      <c r="B49" s="1" t="s">
        <v>743</v>
      </c>
      <c r="C49" s="1" t="s">
        <v>23</v>
      </c>
      <c r="D49" s="1">
        <v>687</v>
      </c>
      <c r="E49" s="1" t="s">
        <v>734</v>
      </c>
      <c r="F49" s="1">
        <v>5000275012</v>
      </c>
      <c r="G49" s="1"/>
      <c r="H49" s="1">
        <v>72</v>
      </c>
      <c r="I49" s="1">
        <v>74.75</v>
      </c>
      <c r="J49" s="1">
        <f t="shared" ref="J49:J50" si="24">I49-H49</f>
        <v>2.75</v>
      </c>
      <c r="K49" s="1">
        <f t="shared" ref="K49:K50" si="25">D49*J49</f>
        <v>1889.25</v>
      </c>
      <c r="L49" s="1"/>
      <c r="M49" s="1"/>
      <c r="N49" s="1"/>
    </row>
    <row r="50" spans="1:14" x14ac:dyDescent="0.25">
      <c r="A50" s="1">
        <v>1003198</v>
      </c>
      <c r="B50" s="1" t="s">
        <v>743</v>
      </c>
      <c r="C50" s="1" t="s">
        <v>23</v>
      </c>
      <c r="D50" s="1">
        <v>510</v>
      </c>
      <c r="E50" s="1" t="s">
        <v>734</v>
      </c>
      <c r="F50" s="1">
        <v>5000275012</v>
      </c>
      <c r="G50" s="1"/>
      <c r="H50" s="1">
        <v>72</v>
      </c>
      <c r="I50" s="1">
        <v>74.75</v>
      </c>
      <c r="J50" s="1">
        <f t="shared" si="24"/>
        <v>2.75</v>
      </c>
      <c r="K50" s="1">
        <f t="shared" si="25"/>
        <v>1402.5</v>
      </c>
      <c r="L50" s="1"/>
      <c r="M50" s="1"/>
      <c r="N50" s="1"/>
    </row>
    <row r="51" spans="1:14" x14ac:dyDescent="0.25">
      <c r="A51" s="1">
        <v>1003198</v>
      </c>
      <c r="B51" s="1"/>
      <c r="C51" s="1"/>
      <c r="D51" s="165"/>
      <c r="E51" s="1"/>
      <c r="F51" s="1"/>
      <c r="G51" s="2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>
        <f>SUM(D38:D52)</f>
        <v>15605</v>
      </c>
      <c r="E53" s="1"/>
      <c r="F53" s="1"/>
      <c r="G53" s="1"/>
      <c r="H53" s="1"/>
      <c r="I53" s="1"/>
      <c r="J53" s="1"/>
      <c r="K53" s="1">
        <f>SUM(K38:K50)</f>
        <v>44110.149999999936</v>
      </c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6" spans="1:14" x14ac:dyDescent="0.25">
      <c r="A56" t="s">
        <v>666</v>
      </c>
    </row>
    <row r="57" spans="1:14" x14ac:dyDescent="0.25">
      <c r="A57" s="1" t="s">
        <v>438</v>
      </c>
      <c r="B57" s="1" t="s">
        <v>169</v>
      </c>
      <c r="C57" s="1"/>
      <c r="D57" s="1" t="s">
        <v>22</v>
      </c>
      <c r="E57" s="1" t="s">
        <v>436</v>
      </c>
      <c r="F57" s="1" t="s">
        <v>208</v>
      </c>
      <c r="G57" s="1" t="s">
        <v>209</v>
      </c>
      <c r="H57" s="1" t="s">
        <v>210</v>
      </c>
      <c r="I57" s="1" t="s">
        <v>52</v>
      </c>
      <c r="J57" s="1" t="s">
        <v>21</v>
      </c>
    </row>
    <row r="58" spans="1:14" x14ac:dyDescent="0.25">
      <c r="A58" s="1">
        <v>1001827</v>
      </c>
      <c r="B58" s="1" t="s">
        <v>502</v>
      </c>
      <c r="C58" s="1" t="s">
        <v>0</v>
      </c>
      <c r="D58" s="2">
        <v>10500</v>
      </c>
      <c r="E58" s="1" t="s">
        <v>705</v>
      </c>
      <c r="F58" s="1">
        <v>5000267420</v>
      </c>
      <c r="G58" s="1">
        <v>1310</v>
      </c>
      <c r="H58" s="1">
        <f>1600+285</f>
        <v>1885</v>
      </c>
      <c r="I58" s="1">
        <f>H58-G58</f>
        <v>575</v>
      </c>
      <c r="J58" s="1">
        <f>I58*D58/1000</f>
        <v>6037.5</v>
      </c>
    </row>
    <row r="59" spans="1:14" x14ac:dyDescent="0.25">
      <c r="A59" s="1">
        <v>1001827</v>
      </c>
      <c r="B59" s="1"/>
      <c r="C59" s="1" t="s">
        <v>0</v>
      </c>
      <c r="D59" s="2">
        <v>10500</v>
      </c>
      <c r="E59" s="1"/>
      <c r="F59" s="1"/>
      <c r="G59" s="1"/>
      <c r="H59" s="1"/>
      <c r="I59" s="1"/>
      <c r="J59" s="1"/>
    </row>
    <row r="60" spans="1:14" x14ac:dyDescent="0.25">
      <c r="A60" s="1">
        <v>1002057</v>
      </c>
      <c r="B60" s="1" t="s">
        <v>718</v>
      </c>
      <c r="C60" s="1" t="s">
        <v>0</v>
      </c>
      <c r="D60" s="2">
        <v>21000</v>
      </c>
      <c r="E60" s="1" t="s">
        <v>719</v>
      </c>
      <c r="F60" s="1">
        <v>5000263974</v>
      </c>
      <c r="G60" s="1">
        <v>1310</v>
      </c>
      <c r="H60" s="1">
        <f>1600+285</f>
        <v>1885</v>
      </c>
      <c r="I60" s="1">
        <f>H60-G60</f>
        <v>575</v>
      </c>
      <c r="J60" s="1">
        <f>I60*D60/1000</f>
        <v>12075</v>
      </c>
    </row>
    <row r="61" spans="1:14" x14ac:dyDescent="0.25">
      <c r="A61" s="1">
        <v>1002057</v>
      </c>
      <c r="B61" s="1"/>
      <c r="C61" s="1" t="s">
        <v>0</v>
      </c>
      <c r="D61" s="2">
        <v>21000</v>
      </c>
      <c r="E61" s="1"/>
      <c r="F61" s="1"/>
      <c r="G61" s="1"/>
      <c r="H61" s="1"/>
      <c r="I61" s="1"/>
      <c r="J61" s="1"/>
    </row>
    <row r="62" spans="1:14" x14ac:dyDescent="0.25">
      <c r="A62" s="1">
        <v>1002059</v>
      </c>
      <c r="B62" s="1" t="s">
        <v>720</v>
      </c>
      <c r="C62" s="1" t="s">
        <v>0</v>
      </c>
      <c r="D62" s="2">
        <v>21000</v>
      </c>
      <c r="E62" s="1" t="s">
        <v>719</v>
      </c>
      <c r="F62" s="1">
        <v>5000263974</v>
      </c>
      <c r="G62" s="1">
        <v>1090</v>
      </c>
      <c r="H62" s="1">
        <f>1200+200</f>
        <v>1400</v>
      </c>
      <c r="I62" s="1">
        <f>H62-G62</f>
        <v>310</v>
      </c>
      <c r="J62" s="1">
        <f>I62*D62/1000</f>
        <v>6510</v>
      </c>
    </row>
    <row r="63" spans="1:14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</row>
    <row r="64" spans="1:14" x14ac:dyDescent="0.25">
      <c r="A64" s="1"/>
      <c r="B64" s="1"/>
      <c r="C64" s="1"/>
      <c r="D64" s="2">
        <f>D62+D61+D59</f>
        <v>52500</v>
      </c>
      <c r="E64" s="1"/>
      <c r="F64" s="1"/>
      <c r="G64" s="1"/>
      <c r="H64" s="1"/>
      <c r="I64" s="1" t="s">
        <v>58</v>
      </c>
      <c r="J64" s="1">
        <f>SUM(J58:J62)</f>
        <v>24622.5</v>
      </c>
    </row>
    <row r="65" spans="1:14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</row>
    <row r="66" spans="1:14" x14ac:dyDescent="0.25">
      <c r="A66" s="1" t="s">
        <v>669</v>
      </c>
      <c r="B66" s="1"/>
      <c r="C66" s="1"/>
      <c r="D66" s="2"/>
      <c r="E66" s="1"/>
      <c r="F66" s="1"/>
      <c r="G66" s="1"/>
      <c r="H66" s="1"/>
      <c r="I66" s="1"/>
      <c r="J66" s="1"/>
    </row>
    <row r="67" spans="1:14" x14ac:dyDescent="0.25">
      <c r="A67" s="1"/>
      <c r="B67" s="1"/>
      <c r="C67" s="1"/>
      <c r="D67" s="1"/>
      <c r="E67" s="1"/>
      <c r="F67" s="1"/>
      <c r="G67" s="199" t="s">
        <v>603</v>
      </c>
      <c r="H67" s="199"/>
      <c r="I67" s="199"/>
      <c r="J67" s="199"/>
      <c r="K67" s="199" t="s">
        <v>604</v>
      </c>
      <c r="L67" s="199"/>
      <c r="M67" s="199"/>
      <c r="N67" s="199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 t="s">
        <v>438</v>
      </c>
      <c r="B69" s="1" t="s">
        <v>439</v>
      </c>
      <c r="C69" s="1" t="s">
        <v>172</v>
      </c>
      <c r="D69" s="1" t="s">
        <v>22</v>
      </c>
      <c r="E69" s="1" t="s">
        <v>594</v>
      </c>
      <c r="F69" s="1" t="s">
        <v>172</v>
      </c>
      <c r="G69" s="1" t="s">
        <v>601</v>
      </c>
      <c r="H69" s="1" t="s">
        <v>210</v>
      </c>
      <c r="I69" s="1" t="s">
        <v>602</v>
      </c>
      <c r="J69" s="1" t="s">
        <v>443</v>
      </c>
      <c r="K69" s="1" t="s">
        <v>601</v>
      </c>
      <c r="L69" s="1" t="s">
        <v>210</v>
      </c>
      <c r="M69" s="1" t="s">
        <v>602</v>
      </c>
      <c r="N69" s="1" t="s">
        <v>443</v>
      </c>
    </row>
    <row r="70" spans="1:14" x14ac:dyDescent="0.25">
      <c r="A70" s="1">
        <v>1000842</v>
      </c>
      <c r="B70" s="1" t="s">
        <v>744</v>
      </c>
      <c r="C70" s="1">
        <v>5000272148</v>
      </c>
      <c r="D70" s="2">
        <v>18000</v>
      </c>
      <c r="E70" s="1" t="s">
        <v>737</v>
      </c>
      <c r="F70" s="1"/>
      <c r="G70" s="1">
        <v>700</v>
      </c>
      <c r="H70" s="1">
        <v>850</v>
      </c>
      <c r="I70" s="2">
        <f>H70-G70</f>
        <v>150</v>
      </c>
      <c r="J70" s="1">
        <f>I70*D70/1000</f>
        <v>2700</v>
      </c>
      <c r="K70" s="1"/>
      <c r="L70" s="1"/>
      <c r="M70" s="1"/>
      <c r="N70" s="1"/>
    </row>
    <row r="71" spans="1:14" x14ac:dyDescent="0.25">
      <c r="A71" s="1">
        <v>1002178</v>
      </c>
      <c r="B71" s="1" t="s">
        <v>550</v>
      </c>
      <c r="C71" s="1">
        <v>5000269932</v>
      </c>
      <c r="D71" s="2">
        <v>10000</v>
      </c>
      <c r="E71" s="1" t="s">
        <v>741</v>
      </c>
      <c r="F71" s="1"/>
      <c r="G71" s="1">
        <v>100</v>
      </c>
      <c r="H71" s="1">
        <v>120</v>
      </c>
      <c r="I71" s="2">
        <f>H71-G71</f>
        <v>20</v>
      </c>
      <c r="J71" s="1">
        <f>I71*D71/1000</f>
        <v>200</v>
      </c>
      <c r="K71" s="1"/>
      <c r="L71" s="1"/>
      <c r="M71" s="1"/>
      <c r="N71" s="1"/>
    </row>
    <row r="72" spans="1:14" x14ac:dyDescent="0.25">
      <c r="A72" s="1">
        <v>1003046</v>
      </c>
      <c r="B72" s="1" t="s">
        <v>555</v>
      </c>
      <c r="C72" s="1">
        <v>5000272148</v>
      </c>
      <c r="D72" s="2">
        <v>10000</v>
      </c>
      <c r="E72" s="1" t="s">
        <v>737</v>
      </c>
      <c r="F72" s="1"/>
      <c r="G72" s="1">
        <v>500</v>
      </c>
      <c r="H72" s="1">
        <v>850</v>
      </c>
      <c r="I72" s="1">
        <f t="shared" ref="I72" si="26">H72-G72</f>
        <v>350</v>
      </c>
      <c r="J72" s="1">
        <f t="shared" ref="J72" si="27">I72*D72/1000</f>
        <v>3500</v>
      </c>
      <c r="K72" s="4">
        <v>460</v>
      </c>
      <c r="L72" s="4">
        <v>500</v>
      </c>
      <c r="M72" s="1">
        <f t="shared" ref="M72" si="28">L72-K72</f>
        <v>40</v>
      </c>
      <c r="N72" s="1">
        <f t="shared" ref="N72" si="29">M72*D72/1000</f>
        <v>400</v>
      </c>
    </row>
    <row r="73" spans="1:14" x14ac:dyDescent="0.25">
      <c r="A73" s="1">
        <v>1003192</v>
      </c>
      <c r="B73" s="1" t="s">
        <v>746</v>
      </c>
      <c r="C73" s="1">
        <v>5000271111</v>
      </c>
      <c r="D73" s="2">
        <v>50375</v>
      </c>
      <c r="E73" s="1" t="s">
        <v>745</v>
      </c>
      <c r="F73" s="1"/>
      <c r="G73" s="1">
        <v>270</v>
      </c>
      <c r="H73" s="1">
        <v>340</v>
      </c>
      <c r="I73" s="1">
        <f t="shared" ref="I73:I74" si="30">H73-G73</f>
        <v>70</v>
      </c>
      <c r="J73" s="1">
        <f t="shared" ref="J73:J74" si="31">I73*D73/1000</f>
        <v>3526.25</v>
      </c>
      <c r="K73" s="1">
        <v>230</v>
      </c>
      <c r="L73" s="1">
        <v>270</v>
      </c>
      <c r="M73" s="1">
        <f t="shared" ref="M73" si="32">L73-K73</f>
        <v>40</v>
      </c>
      <c r="N73" s="1">
        <f t="shared" ref="N73" si="33">M73*D73/1000</f>
        <v>2015</v>
      </c>
    </row>
    <row r="74" spans="1:14" x14ac:dyDescent="0.25">
      <c r="A74" s="1">
        <v>1003216</v>
      </c>
      <c r="B74" s="1" t="s">
        <v>748</v>
      </c>
      <c r="C74" s="1">
        <v>5000274673</v>
      </c>
      <c r="D74" s="2">
        <v>15000</v>
      </c>
      <c r="E74" s="1" t="s">
        <v>747</v>
      </c>
      <c r="F74" s="1"/>
      <c r="G74" s="2">
        <v>620</v>
      </c>
      <c r="H74" s="1">
        <v>850</v>
      </c>
      <c r="I74" s="2">
        <f t="shared" si="30"/>
        <v>230</v>
      </c>
      <c r="J74" s="1">
        <f t="shared" si="31"/>
        <v>3450</v>
      </c>
      <c r="K74" s="1">
        <v>490</v>
      </c>
      <c r="L74" s="1">
        <v>620</v>
      </c>
      <c r="M74" s="1">
        <f t="shared" ref="M74:M75" si="34">L74-K74</f>
        <v>130</v>
      </c>
      <c r="N74" s="1">
        <f t="shared" ref="N74:N75" si="35">M74*D74/1000</f>
        <v>1950</v>
      </c>
    </row>
    <row r="75" spans="1:14" x14ac:dyDescent="0.25">
      <c r="A75" s="1">
        <v>1003216</v>
      </c>
      <c r="B75" s="1" t="s">
        <v>748</v>
      </c>
      <c r="C75" s="1">
        <v>5000272148</v>
      </c>
      <c r="D75" s="2">
        <v>15000</v>
      </c>
      <c r="E75" s="1" t="s">
        <v>737</v>
      </c>
      <c r="F75" s="1"/>
      <c r="G75" s="2">
        <v>620</v>
      </c>
      <c r="H75" s="1">
        <v>850</v>
      </c>
      <c r="I75" s="2">
        <f t="shared" ref="I75" si="36">H75-G75</f>
        <v>230</v>
      </c>
      <c r="J75" s="1">
        <f t="shared" ref="J75" si="37">I75*D75/1000</f>
        <v>3450</v>
      </c>
      <c r="K75" s="1">
        <v>490</v>
      </c>
      <c r="L75" s="1">
        <v>620</v>
      </c>
      <c r="M75" s="1">
        <f t="shared" si="34"/>
        <v>130</v>
      </c>
      <c r="N75" s="1">
        <f t="shared" si="35"/>
        <v>1950</v>
      </c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2">
        <f>SUM(D70:D76)</f>
        <v>118375</v>
      </c>
      <c r="E77" s="1"/>
      <c r="F77" s="1"/>
      <c r="G77" s="1"/>
      <c r="H77" s="5" t="s">
        <v>58</v>
      </c>
      <c r="I77" s="1"/>
      <c r="J77" s="1">
        <f>SUM(J70:J75)</f>
        <v>16826.25</v>
      </c>
      <c r="K77" s="1"/>
      <c r="L77" s="1"/>
      <c r="M77" s="1"/>
      <c r="N77" s="1">
        <f>SUM(N70:N75)</f>
        <v>6315</v>
      </c>
    </row>
    <row r="78" spans="1:14" x14ac:dyDescent="0.25">
      <c r="A78" s="1"/>
      <c r="B78" s="1"/>
      <c r="C78" s="1"/>
      <c r="D78" s="2">
        <f>SUM(D73:D75)</f>
        <v>80375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80" spans="1:14" x14ac:dyDescent="0.25">
      <c r="A80" t="s">
        <v>678</v>
      </c>
    </row>
    <row r="81" spans="1:11" x14ac:dyDescent="0.25">
      <c r="A81" s="1" t="s">
        <v>438</v>
      </c>
      <c r="B81" s="1" t="s">
        <v>439</v>
      </c>
      <c r="C81" s="1"/>
      <c r="D81" s="1" t="s">
        <v>22</v>
      </c>
      <c r="E81" s="1" t="s">
        <v>594</v>
      </c>
      <c r="F81" s="1" t="s">
        <v>172</v>
      </c>
      <c r="G81" s="1" t="s">
        <v>679</v>
      </c>
      <c r="H81" s="1" t="s">
        <v>601</v>
      </c>
      <c r="I81" s="1" t="s">
        <v>210</v>
      </c>
      <c r="J81" s="1" t="s">
        <v>602</v>
      </c>
      <c r="K81" s="1" t="s">
        <v>443</v>
      </c>
    </row>
    <row r="82" spans="1:11" x14ac:dyDescent="0.25">
      <c r="A82" s="1">
        <v>1001848</v>
      </c>
      <c r="B82" s="1" t="s">
        <v>749</v>
      </c>
      <c r="C82" s="1">
        <v>3000036049</v>
      </c>
      <c r="D82" s="1">
        <v>5000269163</v>
      </c>
      <c r="E82" s="1">
        <v>1001848</v>
      </c>
      <c r="F82" s="1">
        <v>5000269163</v>
      </c>
      <c r="G82" s="1"/>
      <c r="H82" s="1"/>
      <c r="I82" s="1"/>
      <c r="J82" s="1"/>
      <c r="K82" s="1"/>
    </row>
    <row r="83" spans="1:11" x14ac:dyDescent="0.25">
      <c r="A83" s="1">
        <v>1001848</v>
      </c>
      <c r="B83" s="1"/>
      <c r="C83" s="1"/>
      <c r="D83" s="1"/>
      <c r="E83" s="1">
        <v>1001848</v>
      </c>
      <c r="F83" s="1"/>
      <c r="G83" s="1"/>
      <c r="H83" s="1"/>
      <c r="I83" s="1"/>
      <c r="J83" s="1"/>
      <c r="K83" s="1"/>
    </row>
    <row r="84" spans="1:11" x14ac:dyDescent="0.25">
      <c r="A84" s="1">
        <v>1001865</v>
      </c>
      <c r="B84" s="1" t="s">
        <v>682</v>
      </c>
      <c r="C84" s="1">
        <v>3000037028</v>
      </c>
      <c r="D84" s="1">
        <v>5000269161</v>
      </c>
      <c r="E84" s="1">
        <v>1001865</v>
      </c>
      <c r="F84" s="1">
        <v>5000269161</v>
      </c>
      <c r="G84" s="1"/>
      <c r="H84" s="1"/>
      <c r="I84" s="1"/>
      <c r="J84" s="1"/>
      <c r="K84" s="1"/>
    </row>
    <row r="85" spans="1:11" x14ac:dyDescent="0.25">
      <c r="A85" s="1">
        <v>1001865</v>
      </c>
      <c r="B85" s="1"/>
      <c r="C85" s="1"/>
      <c r="D85" s="1"/>
      <c r="E85" s="1">
        <v>1001865</v>
      </c>
      <c r="F85" s="1"/>
      <c r="G85" s="1"/>
      <c r="H85" s="1"/>
      <c r="I85" s="1"/>
      <c r="J85" s="1"/>
      <c r="K85" s="1"/>
    </row>
    <row r="86" spans="1:11" x14ac:dyDescent="0.25">
      <c r="A86" s="1">
        <v>1001875</v>
      </c>
      <c r="B86" s="1" t="s">
        <v>750</v>
      </c>
      <c r="C86" s="1">
        <v>3000037516</v>
      </c>
      <c r="D86" s="1">
        <v>5000269290</v>
      </c>
      <c r="E86" s="1">
        <v>1001875</v>
      </c>
      <c r="F86" s="1">
        <v>5000269290</v>
      </c>
      <c r="G86" s="1"/>
      <c r="H86" s="1"/>
      <c r="I86" s="1"/>
      <c r="J86" s="1"/>
      <c r="K86" s="1"/>
    </row>
    <row r="87" spans="1:11" x14ac:dyDescent="0.25">
      <c r="A87" s="1">
        <v>1001875</v>
      </c>
      <c r="B87" s="1"/>
      <c r="C87" s="1"/>
      <c r="D87" s="1"/>
      <c r="E87" s="1">
        <v>1001875</v>
      </c>
      <c r="F87" s="1"/>
      <c r="G87" s="1"/>
      <c r="H87" s="1"/>
      <c r="I87" s="1"/>
      <c r="J87" s="1"/>
      <c r="K87" s="1"/>
    </row>
    <row r="88" spans="1:11" x14ac:dyDescent="0.25">
      <c r="A88" s="1">
        <v>1002438</v>
      </c>
      <c r="B88" s="1" t="s">
        <v>751</v>
      </c>
      <c r="C88" s="1">
        <v>3000037592</v>
      </c>
      <c r="D88" s="1">
        <v>5000274636</v>
      </c>
      <c r="E88" s="1">
        <v>1002438</v>
      </c>
      <c r="F88" s="2">
        <v>32300</v>
      </c>
      <c r="G88" s="1">
        <v>103</v>
      </c>
      <c r="H88" s="1">
        <v>982</v>
      </c>
      <c r="I88" s="1">
        <v>992</v>
      </c>
      <c r="J88" s="1">
        <f>I88-H88</f>
        <v>10</v>
      </c>
      <c r="K88" s="1">
        <f>J88*F88/1000</f>
        <v>323</v>
      </c>
    </row>
    <row r="89" spans="1:11" x14ac:dyDescent="0.25">
      <c r="A89" s="1">
        <v>1002438</v>
      </c>
      <c r="B89" s="1" t="s">
        <v>751</v>
      </c>
      <c r="C89" s="1">
        <v>3000037592</v>
      </c>
      <c r="D89" s="1">
        <v>5000274243</v>
      </c>
      <c r="E89" s="1">
        <v>1002438</v>
      </c>
      <c r="F89" s="2">
        <v>79800</v>
      </c>
      <c r="G89" s="1">
        <v>103</v>
      </c>
      <c r="H89" s="1">
        <v>982</v>
      </c>
      <c r="I89" s="1">
        <v>992</v>
      </c>
      <c r="J89" s="1">
        <f t="shared" ref="J89:J91" si="38">I89-H89</f>
        <v>10</v>
      </c>
      <c r="K89" s="1">
        <f t="shared" ref="K89:K91" si="39">J89*F89/1000</f>
        <v>798</v>
      </c>
    </row>
    <row r="90" spans="1:11" x14ac:dyDescent="0.25">
      <c r="A90" s="1">
        <v>1002438</v>
      </c>
      <c r="B90" s="1" t="s">
        <v>751</v>
      </c>
      <c r="C90" s="1">
        <v>3000037516</v>
      </c>
      <c r="D90" s="1">
        <v>5000269292</v>
      </c>
      <c r="E90" s="1">
        <v>1002438</v>
      </c>
      <c r="F90" s="2">
        <v>231000</v>
      </c>
      <c r="G90" s="1">
        <v>103</v>
      </c>
      <c r="H90" s="1">
        <v>982</v>
      </c>
      <c r="I90" s="1">
        <v>992</v>
      </c>
      <c r="J90" s="1">
        <f t="shared" si="38"/>
        <v>10</v>
      </c>
      <c r="K90" s="1">
        <f t="shared" si="39"/>
        <v>2310</v>
      </c>
    </row>
    <row r="91" spans="1:11" x14ac:dyDescent="0.25">
      <c r="A91" s="1">
        <v>1002438</v>
      </c>
      <c r="B91" s="1" t="s">
        <v>751</v>
      </c>
      <c r="C91" s="1">
        <v>3000037516</v>
      </c>
      <c r="D91" s="1">
        <v>5000269290</v>
      </c>
      <c r="E91" s="1">
        <v>1002438</v>
      </c>
      <c r="F91" s="2">
        <v>226490</v>
      </c>
      <c r="G91" s="1">
        <v>103</v>
      </c>
      <c r="H91" s="1">
        <v>982</v>
      </c>
      <c r="I91" s="1">
        <v>992</v>
      </c>
      <c r="J91" s="1">
        <f t="shared" si="38"/>
        <v>10</v>
      </c>
      <c r="K91" s="1">
        <f t="shared" si="39"/>
        <v>2264.9</v>
      </c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2">
        <f>SUM(F88:F92)</f>
        <v>569590</v>
      </c>
      <c r="G93" s="1"/>
      <c r="H93" s="1"/>
      <c r="I93" s="1"/>
      <c r="J93" s="1"/>
      <c r="K93" s="1">
        <f>SUM(K88:K91)</f>
        <v>5695.9</v>
      </c>
    </row>
    <row r="95" spans="1:11" x14ac:dyDescent="0.25">
      <c r="A95" s="1" t="s">
        <v>167</v>
      </c>
      <c r="B95" s="1" t="s">
        <v>169</v>
      </c>
      <c r="C95" s="1"/>
      <c r="D95" s="1" t="s">
        <v>22</v>
      </c>
      <c r="E95" s="1"/>
      <c r="F95" s="1" t="s">
        <v>618</v>
      </c>
      <c r="G95" s="1" t="s">
        <v>619</v>
      </c>
      <c r="H95" s="1" t="s">
        <v>210</v>
      </c>
      <c r="I95" s="1" t="s">
        <v>465</v>
      </c>
      <c r="J95" s="1" t="s">
        <v>21</v>
      </c>
    </row>
    <row r="96" spans="1:11" x14ac:dyDescent="0.25">
      <c r="A96" s="1">
        <v>1003049</v>
      </c>
      <c r="B96" s="1" t="s">
        <v>725</v>
      </c>
      <c r="C96" s="1" t="s">
        <v>392</v>
      </c>
      <c r="D96" s="1">
        <v>479.54</v>
      </c>
      <c r="E96" s="1" t="s">
        <v>752</v>
      </c>
      <c r="F96" s="1">
        <v>5000275194</v>
      </c>
      <c r="G96" s="1">
        <v>169.53</v>
      </c>
      <c r="H96" s="1">
        <v>178.17</v>
      </c>
      <c r="I96" s="1">
        <f>H96-G96</f>
        <v>8.6399999999999864</v>
      </c>
      <c r="J96" s="1">
        <f>I96*D96</f>
        <v>4143.2255999999934</v>
      </c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5" t="s">
        <v>58</v>
      </c>
      <c r="J98" s="1">
        <f>J96</f>
        <v>4143.2255999999934</v>
      </c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2" spans="1:11" x14ac:dyDescent="0.25">
      <c r="A102" s="5" t="s">
        <v>753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5" t="s">
        <v>765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 t="s">
        <v>763</v>
      </c>
      <c r="I104" s="1" t="s">
        <v>764</v>
      </c>
      <c r="J104" s="1" t="s">
        <v>52</v>
      </c>
      <c r="K104" s="1" t="s">
        <v>21</v>
      </c>
    </row>
    <row r="105" spans="1:11" x14ac:dyDescent="0.25">
      <c r="A105" s="1" t="s">
        <v>754</v>
      </c>
      <c r="B105" s="1" t="s">
        <v>755</v>
      </c>
      <c r="C105" s="1">
        <v>3000037674</v>
      </c>
      <c r="D105" s="1" t="s">
        <v>727</v>
      </c>
      <c r="E105" s="1">
        <v>5000274472</v>
      </c>
      <c r="F105" s="3">
        <v>1193.4000000000001</v>
      </c>
      <c r="G105" s="1" t="s">
        <v>392</v>
      </c>
      <c r="H105" s="3">
        <v>151.35</v>
      </c>
      <c r="I105" s="1">
        <v>154.1</v>
      </c>
      <c r="J105" s="3">
        <f>I105-H105</f>
        <v>2.75</v>
      </c>
      <c r="K105" s="127">
        <f>J105*F105</f>
        <v>3281.8500000000004</v>
      </c>
    </row>
    <row r="106" spans="1:11" x14ac:dyDescent="0.25">
      <c r="A106" s="1" t="s">
        <v>754</v>
      </c>
      <c r="B106" s="1" t="s">
        <v>755</v>
      </c>
      <c r="C106" s="1">
        <v>3000037819</v>
      </c>
      <c r="D106" s="1" t="s">
        <v>772</v>
      </c>
      <c r="E106" s="1">
        <v>5000274472</v>
      </c>
      <c r="F106" s="1">
        <v>32.94</v>
      </c>
      <c r="G106" s="1" t="s">
        <v>392</v>
      </c>
      <c r="H106" s="3">
        <v>151.35</v>
      </c>
      <c r="I106" s="1">
        <v>154.1</v>
      </c>
      <c r="J106" s="3">
        <f t="shared" ref="J106:J117" si="40">I106-H106</f>
        <v>2.75</v>
      </c>
      <c r="K106" s="127">
        <f t="shared" ref="K106:K117" si="41">J106*F106</f>
        <v>90.584999999999994</v>
      </c>
    </row>
    <row r="107" spans="1:11" x14ac:dyDescent="0.25">
      <c r="A107" s="1" t="s">
        <v>754</v>
      </c>
      <c r="B107" s="1" t="s">
        <v>755</v>
      </c>
      <c r="C107" s="1">
        <v>3000037819</v>
      </c>
      <c r="D107" s="1" t="s">
        <v>772</v>
      </c>
      <c r="E107" s="1">
        <v>5000274676</v>
      </c>
      <c r="F107" s="2">
        <v>2000</v>
      </c>
      <c r="G107" s="1" t="s">
        <v>392</v>
      </c>
      <c r="H107" s="3">
        <v>151.35</v>
      </c>
      <c r="I107" s="1">
        <v>154.1</v>
      </c>
      <c r="J107" s="3">
        <f t="shared" si="40"/>
        <v>2.75</v>
      </c>
      <c r="K107" s="127">
        <f t="shared" si="41"/>
        <v>5500</v>
      </c>
    </row>
    <row r="108" spans="1:11" x14ac:dyDescent="0.25">
      <c r="A108" s="1" t="s">
        <v>754</v>
      </c>
      <c r="B108" s="1" t="s">
        <v>755</v>
      </c>
      <c r="C108" s="1">
        <v>3000038481</v>
      </c>
      <c r="D108" s="1" t="s">
        <v>773</v>
      </c>
      <c r="E108" s="1">
        <v>5000274676</v>
      </c>
      <c r="F108" s="1">
        <v>100</v>
      </c>
      <c r="G108" s="1" t="s">
        <v>392</v>
      </c>
      <c r="H108" s="3">
        <v>151.35</v>
      </c>
      <c r="I108" s="1">
        <v>154.1</v>
      </c>
      <c r="J108" s="3">
        <f t="shared" si="40"/>
        <v>2.75</v>
      </c>
      <c r="K108" s="127">
        <f t="shared" si="41"/>
        <v>275</v>
      </c>
    </row>
    <row r="109" spans="1:11" x14ac:dyDescent="0.25">
      <c r="A109" s="1" t="s">
        <v>754</v>
      </c>
      <c r="B109" s="1" t="s">
        <v>756</v>
      </c>
      <c r="C109" s="1">
        <v>3000037819</v>
      </c>
      <c r="D109" s="1" t="s">
        <v>772</v>
      </c>
      <c r="E109" s="1">
        <v>5000274675</v>
      </c>
      <c r="F109" s="1">
        <v>200.82</v>
      </c>
      <c r="G109" s="1" t="s">
        <v>392</v>
      </c>
      <c r="H109" s="3">
        <v>151.35</v>
      </c>
      <c r="I109" s="1">
        <v>154.1</v>
      </c>
      <c r="J109" s="3">
        <f t="shared" si="40"/>
        <v>2.75</v>
      </c>
      <c r="K109" s="127">
        <f t="shared" si="41"/>
        <v>552.255</v>
      </c>
    </row>
    <row r="110" spans="1:11" x14ac:dyDescent="0.25">
      <c r="A110" s="1" t="s">
        <v>754</v>
      </c>
      <c r="B110" s="1" t="s">
        <v>756</v>
      </c>
      <c r="C110" s="1">
        <v>3000037819</v>
      </c>
      <c r="D110" s="1" t="s">
        <v>772</v>
      </c>
      <c r="E110" s="1">
        <v>5000274676</v>
      </c>
      <c r="F110" s="1">
        <v>774.16</v>
      </c>
      <c r="G110" s="1" t="s">
        <v>392</v>
      </c>
      <c r="H110" s="3">
        <v>151.35</v>
      </c>
      <c r="I110" s="1">
        <v>154.1</v>
      </c>
      <c r="J110" s="3">
        <f t="shared" si="40"/>
        <v>2.75</v>
      </c>
      <c r="K110" s="127">
        <f t="shared" si="41"/>
        <v>2128.94</v>
      </c>
    </row>
    <row r="111" spans="1:11" x14ac:dyDescent="0.25">
      <c r="A111" s="1" t="s">
        <v>754</v>
      </c>
      <c r="B111" s="1" t="s">
        <v>757</v>
      </c>
      <c r="C111" s="1">
        <v>3000037171</v>
      </c>
      <c r="D111" s="1" t="s">
        <v>774</v>
      </c>
      <c r="E111" s="1">
        <v>5000274469</v>
      </c>
      <c r="F111" s="1">
        <v>165.2</v>
      </c>
      <c r="G111" s="1" t="s">
        <v>392</v>
      </c>
      <c r="H111" s="3">
        <v>151.35</v>
      </c>
      <c r="I111" s="1">
        <v>154.1</v>
      </c>
      <c r="J111" s="3">
        <f t="shared" si="40"/>
        <v>2.75</v>
      </c>
      <c r="K111" s="127">
        <f t="shared" si="41"/>
        <v>454.29999999999995</v>
      </c>
    </row>
    <row r="112" spans="1:11" x14ac:dyDescent="0.25">
      <c r="A112" s="1" t="s">
        <v>754</v>
      </c>
      <c r="B112" s="1" t="s">
        <v>757</v>
      </c>
      <c r="C112" s="1">
        <v>3000037674</v>
      </c>
      <c r="D112" s="1" t="s">
        <v>727</v>
      </c>
      <c r="E112" s="1">
        <v>5000274472</v>
      </c>
      <c r="F112" s="3">
        <v>3344.69</v>
      </c>
      <c r="G112" s="1" t="s">
        <v>392</v>
      </c>
      <c r="H112" s="3">
        <v>151.35</v>
      </c>
      <c r="I112" s="1">
        <v>154.1</v>
      </c>
      <c r="J112" s="3">
        <f t="shared" si="40"/>
        <v>2.75</v>
      </c>
      <c r="K112" s="127">
        <f t="shared" si="41"/>
        <v>9197.8975000000009</v>
      </c>
    </row>
    <row r="113" spans="1:11" x14ac:dyDescent="0.25">
      <c r="A113" s="1" t="s">
        <v>758</v>
      </c>
      <c r="B113" s="1" t="s">
        <v>759</v>
      </c>
      <c r="C113" s="1">
        <v>3000037832</v>
      </c>
      <c r="D113" s="1" t="s">
        <v>769</v>
      </c>
      <c r="E113" s="1">
        <v>5000272569</v>
      </c>
      <c r="F113" s="1">
        <v>495.72</v>
      </c>
      <c r="G113" s="1" t="s">
        <v>392</v>
      </c>
      <c r="H113" s="3">
        <v>151.35</v>
      </c>
      <c r="I113" s="1">
        <v>154.1</v>
      </c>
      <c r="J113" s="3">
        <f t="shared" si="40"/>
        <v>2.75</v>
      </c>
      <c r="K113" s="127">
        <f t="shared" si="41"/>
        <v>1363.23</v>
      </c>
    </row>
    <row r="114" spans="1:11" x14ac:dyDescent="0.25">
      <c r="A114" s="1" t="s">
        <v>758</v>
      </c>
      <c r="B114" s="1" t="s">
        <v>760</v>
      </c>
      <c r="C114" s="1">
        <v>3000037363</v>
      </c>
      <c r="D114" s="1" t="s">
        <v>713</v>
      </c>
      <c r="E114" s="1">
        <v>5000272567</v>
      </c>
      <c r="F114" s="3">
        <v>1034.72</v>
      </c>
      <c r="G114" s="1" t="s">
        <v>392</v>
      </c>
      <c r="H114" s="3">
        <v>151.35</v>
      </c>
      <c r="I114" s="1">
        <v>154.1</v>
      </c>
      <c r="J114" s="3">
        <f t="shared" si="40"/>
        <v>2.75</v>
      </c>
      <c r="K114" s="127">
        <f t="shared" si="41"/>
        <v>2845.48</v>
      </c>
    </row>
    <row r="115" spans="1:11" x14ac:dyDescent="0.25">
      <c r="A115" s="1" t="s">
        <v>758</v>
      </c>
      <c r="B115" s="1" t="s">
        <v>761</v>
      </c>
      <c r="C115" s="1">
        <v>3000037363</v>
      </c>
      <c r="D115" s="1" t="s">
        <v>713</v>
      </c>
      <c r="E115" s="1">
        <v>5000272567</v>
      </c>
      <c r="F115" s="3">
        <v>1010.51</v>
      </c>
      <c r="G115" s="1" t="s">
        <v>392</v>
      </c>
      <c r="H115" s="3">
        <v>151.35</v>
      </c>
      <c r="I115" s="1">
        <v>154.1</v>
      </c>
      <c r="J115" s="3">
        <f t="shared" si="40"/>
        <v>2.75</v>
      </c>
      <c r="K115" s="127">
        <f t="shared" si="41"/>
        <v>2778.9025000000001</v>
      </c>
    </row>
    <row r="116" spans="1:11" x14ac:dyDescent="0.25">
      <c r="A116" s="1" t="s">
        <v>758</v>
      </c>
      <c r="B116" s="1" t="s">
        <v>762</v>
      </c>
      <c r="C116" s="1">
        <v>3000037832</v>
      </c>
      <c r="D116" s="1" t="s">
        <v>769</v>
      </c>
      <c r="E116" s="1">
        <v>5000272569</v>
      </c>
      <c r="F116" s="1">
        <v>500</v>
      </c>
      <c r="G116" s="1" t="s">
        <v>392</v>
      </c>
      <c r="H116" s="3">
        <v>151.35</v>
      </c>
      <c r="I116" s="1">
        <v>154.1</v>
      </c>
      <c r="J116" s="3">
        <f t="shared" si="40"/>
        <v>2.75</v>
      </c>
      <c r="K116" s="127">
        <f t="shared" si="41"/>
        <v>1375</v>
      </c>
    </row>
    <row r="117" spans="1:11" x14ac:dyDescent="0.25">
      <c r="A117" s="1" t="s">
        <v>758</v>
      </c>
      <c r="B117" s="1" t="s">
        <v>762</v>
      </c>
      <c r="C117" s="1">
        <v>3000037832</v>
      </c>
      <c r="D117" s="1" t="s">
        <v>769</v>
      </c>
      <c r="E117" s="1">
        <v>5000272569</v>
      </c>
      <c r="F117" s="1">
        <v>501.09</v>
      </c>
      <c r="G117" s="1" t="s">
        <v>392</v>
      </c>
      <c r="H117" s="3">
        <v>151.35</v>
      </c>
      <c r="I117" s="1">
        <v>154.1</v>
      </c>
      <c r="J117" s="3">
        <f t="shared" si="40"/>
        <v>2.75</v>
      </c>
      <c r="K117" s="127">
        <f t="shared" si="41"/>
        <v>1377.9974999999999</v>
      </c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27"/>
    </row>
    <row r="119" spans="1:11" x14ac:dyDescent="0.25">
      <c r="A119" s="1"/>
      <c r="B119" s="1"/>
      <c r="C119" s="1"/>
      <c r="D119" s="1"/>
      <c r="E119" s="1"/>
      <c r="F119" s="181">
        <f>SUM(F105:F118)</f>
        <v>11353.25</v>
      </c>
      <c r="G119" s="1"/>
      <c r="H119" s="1"/>
      <c r="I119" s="1"/>
      <c r="J119" s="1" t="s">
        <v>21</v>
      </c>
      <c r="K119" s="128">
        <f>SUM(K105:K117)</f>
        <v>31221.4375</v>
      </c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5" t="s">
        <v>753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5" t="s">
        <v>430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5"/>
      <c r="B123" s="1" t="s">
        <v>169</v>
      </c>
      <c r="C123" s="1" t="s">
        <v>770</v>
      </c>
      <c r="D123" s="1" t="s">
        <v>771</v>
      </c>
      <c r="E123" s="1" t="s">
        <v>618</v>
      </c>
      <c r="F123" s="1" t="s">
        <v>22</v>
      </c>
      <c r="G123" s="1"/>
      <c r="H123" s="1" t="s">
        <v>763</v>
      </c>
      <c r="I123" s="1" t="s">
        <v>764</v>
      </c>
      <c r="J123" s="1" t="s">
        <v>52</v>
      </c>
      <c r="K123" s="1" t="s">
        <v>21</v>
      </c>
    </row>
    <row r="124" spans="1:11" x14ac:dyDescent="0.25">
      <c r="A124" s="1" t="s">
        <v>766</v>
      </c>
      <c r="B124" s="1" t="s">
        <v>757</v>
      </c>
      <c r="C124" s="1">
        <v>3000037673</v>
      </c>
      <c r="D124" s="1" t="s">
        <v>727</v>
      </c>
      <c r="E124" s="1">
        <v>5000272939</v>
      </c>
      <c r="F124" s="3">
        <v>3288.1</v>
      </c>
      <c r="G124" s="1" t="s">
        <v>392</v>
      </c>
      <c r="H124" s="1">
        <v>163.75</v>
      </c>
      <c r="I124" s="3">
        <v>166.15</v>
      </c>
      <c r="J124" s="3">
        <f>I124-H124</f>
        <v>2.4000000000000057</v>
      </c>
      <c r="K124" s="1">
        <f>J124*F124</f>
        <v>7891.4400000000187</v>
      </c>
    </row>
    <row r="125" spans="1:11" x14ac:dyDescent="0.25">
      <c r="A125" s="1" t="s">
        <v>742</v>
      </c>
      <c r="B125" s="1" t="s">
        <v>757</v>
      </c>
      <c r="C125" s="1">
        <v>3000037673</v>
      </c>
      <c r="D125" s="1" t="s">
        <v>727</v>
      </c>
      <c r="E125" s="1">
        <v>5000271787</v>
      </c>
      <c r="F125" s="1">
        <v>720.9</v>
      </c>
      <c r="G125" s="1" t="s">
        <v>392</v>
      </c>
      <c r="H125" s="1">
        <v>163.75</v>
      </c>
      <c r="I125" s="3">
        <v>166.15</v>
      </c>
      <c r="J125" s="3">
        <f t="shared" ref="J125:J129" si="42">I125-H125</f>
        <v>2.4000000000000057</v>
      </c>
      <c r="K125" s="1">
        <f t="shared" ref="K125:K129" si="43">J125*F125</f>
        <v>1730.1600000000039</v>
      </c>
    </row>
    <row r="126" spans="1:11" x14ac:dyDescent="0.25">
      <c r="A126" s="1" t="s">
        <v>739</v>
      </c>
      <c r="B126" s="1" t="s">
        <v>767</v>
      </c>
      <c r="C126" s="1">
        <v>3000037833</v>
      </c>
      <c r="D126" s="1" t="s">
        <v>769</v>
      </c>
      <c r="E126" s="1">
        <v>5000270765</v>
      </c>
      <c r="F126" s="1">
        <v>629.79999999999995</v>
      </c>
      <c r="G126" s="1" t="s">
        <v>392</v>
      </c>
      <c r="H126" s="1">
        <v>163.75</v>
      </c>
      <c r="I126" s="3">
        <v>166.15</v>
      </c>
      <c r="J126" s="3">
        <f t="shared" si="42"/>
        <v>2.4000000000000057</v>
      </c>
      <c r="K126" s="1">
        <f t="shared" si="43"/>
        <v>1511.5200000000034</v>
      </c>
    </row>
    <row r="127" spans="1:11" x14ac:dyDescent="0.25">
      <c r="A127" s="1" t="s">
        <v>742</v>
      </c>
      <c r="B127" s="1" t="s">
        <v>768</v>
      </c>
      <c r="C127" s="1">
        <v>3000037673</v>
      </c>
      <c r="D127" s="1" t="s">
        <v>727</v>
      </c>
      <c r="E127" s="1">
        <v>5000271785</v>
      </c>
      <c r="F127" s="1">
        <v>499.2</v>
      </c>
      <c r="G127" s="1" t="s">
        <v>392</v>
      </c>
      <c r="H127" s="1">
        <v>163.75</v>
      </c>
      <c r="I127" s="3">
        <v>166.15</v>
      </c>
      <c r="J127" s="3">
        <f t="shared" si="42"/>
        <v>2.4000000000000057</v>
      </c>
      <c r="K127" s="1">
        <f t="shared" si="43"/>
        <v>1198.0800000000029</v>
      </c>
    </row>
    <row r="128" spans="1:11" x14ac:dyDescent="0.25">
      <c r="A128" s="1" t="s">
        <v>739</v>
      </c>
      <c r="B128" s="1" t="s">
        <v>768</v>
      </c>
      <c r="C128" s="1">
        <v>3000037833</v>
      </c>
      <c r="D128" s="1" t="s">
        <v>769</v>
      </c>
      <c r="E128" s="1">
        <v>5000270765</v>
      </c>
      <c r="F128" s="1">
        <v>510</v>
      </c>
      <c r="G128" s="1" t="s">
        <v>392</v>
      </c>
      <c r="H128" s="1">
        <v>163.75</v>
      </c>
      <c r="I128" s="3">
        <v>166.15</v>
      </c>
      <c r="J128" s="3">
        <f t="shared" si="42"/>
        <v>2.4000000000000057</v>
      </c>
      <c r="K128" s="1">
        <f t="shared" si="43"/>
        <v>1224.000000000003</v>
      </c>
    </row>
    <row r="129" spans="1:11" x14ac:dyDescent="0.25">
      <c r="A129" s="1" t="s">
        <v>739</v>
      </c>
      <c r="B129" s="1" t="s">
        <v>768</v>
      </c>
      <c r="C129" s="1">
        <v>3000037833</v>
      </c>
      <c r="D129" s="1" t="s">
        <v>769</v>
      </c>
      <c r="E129" s="1">
        <v>5000270765</v>
      </c>
      <c r="F129" s="1">
        <v>83.1</v>
      </c>
      <c r="G129" s="1" t="s">
        <v>392</v>
      </c>
      <c r="H129" s="1">
        <v>163.75</v>
      </c>
      <c r="I129" s="3">
        <v>166.15</v>
      </c>
      <c r="J129" s="3">
        <f t="shared" si="42"/>
        <v>2.4000000000000057</v>
      </c>
      <c r="K129" s="1">
        <f t="shared" si="43"/>
        <v>199.44000000000045</v>
      </c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3">
        <f>SUM(F124:F130)</f>
        <v>5731.1</v>
      </c>
      <c r="G131" s="1"/>
      <c r="H131" s="1"/>
      <c r="I131" s="1"/>
      <c r="J131" s="1" t="s">
        <v>58</v>
      </c>
      <c r="K131" s="1">
        <f>SUM(K124:K130)</f>
        <v>13754.640000000034</v>
      </c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5" t="s">
        <v>782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5" t="s">
        <v>430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5"/>
      <c r="B135" s="1" t="s">
        <v>169</v>
      </c>
      <c r="C135" s="1" t="s">
        <v>770</v>
      </c>
      <c r="D135" s="1" t="s">
        <v>771</v>
      </c>
      <c r="E135" s="1" t="s">
        <v>618</v>
      </c>
      <c r="F135" s="1" t="s">
        <v>22</v>
      </c>
      <c r="G135" s="1"/>
      <c r="H135" s="1" t="s">
        <v>763</v>
      </c>
      <c r="I135" s="1" t="s">
        <v>764</v>
      </c>
      <c r="J135" s="1" t="s">
        <v>52</v>
      </c>
      <c r="K135" s="1" t="s">
        <v>21</v>
      </c>
    </row>
    <row r="136" spans="1:11" x14ac:dyDescent="0.25">
      <c r="A136" s="8" t="s">
        <v>739</v>
      </c>
      <c r="B136" s="8" t="s">
        <v>783</v>
      </c>
      <c r="C136" s="8">
        <v>3000035823</v>
      </c>
      <c r="D136" s="8"/>
      <c r="E136" s="8">
        <v>5000270768</v>
      </c>
      <c r="F136" s="8">
        <v>204.2</v>
      </c>
      <c r="G136" s="1"/>
      <c r="H136" s="189">
        <v>76.349999999999994</v>
      </c>
      <c r="I136" s="189">
        <v>76.900000000000006</v>
      </c>
      <c r="J136" s="8">
        <f>I136-H136</f>
        <v>0.55000000000001137</v>
      </c>
      <c r="K136" s="8">
        <f>J136*F136</f>
        <v>112.31000000000232</v>
      </c>
    </row>
    <row r="137" spans="1:11" x14ac:dyDescent="0.25">
      <c r="A137" s="8" t="s">
        <v>739</v>
      </c>
      <c r="B137" s="8" t="s">
        <v>158</v>
      </c>
      <c r="C137" s="8">
        <v>3000034259</v>
      </c>
      <c r="D137" s="8"/>
      <c r="E137" s="8">
        <v>5000270767</v>
      </c>
      <c r="F137" s="8">
        <v>531.20000000000005</v>
      </c>
      <c r="G137" s="1" t="s">
        <v>392</v>
      </c>
      <c r="H137" s="189">
        <v>74.75</v>
      </c>
      <c r="I137" s="189">
        <v>75.05</v>
      </c>
      <c r="J137" s="8">
        <f t="shared" ref="J137:J140" si="44">I137-H137</f>
        <v>0.29999999999999716</v>
      </c>
      <c r="K137" s="8">
        <f t="shared" ref="K137:K140" si="45">J137*F137</f>
        <v>159.35999999999851</v>
      </c>
    </row>
    <row r="138" spans="1:11" x14ac:dyDescent="0.25">
      <c r="A138" s="8" t="s">
        <v>766</v>
      </c>
      <c r="B138" s="8" t="s">
        <v>90</v>
      </c>
      <c r="C138" s="8">
        <v>3000038061</v>
      </c>
      <c r="D138" s="8"/>
      <c r="E138" s="8">
        <v>5000273021</v>
      </c>
      <c r="F138" s="8">
        <v>449.2</v>
      </c>
      <c r="G138" s="1" t="s">
        <v>392</v>
      </c>
      <c r="H138" s="189">
        <v>74.75</v>
      </c>
      <c r="I138" s="189">
        <v>75.05</v>
      </c>
      <c r="J138" s="8">
        <f t="shared" si="44"/>
        <v>0.29999999999999716</v>
      </c>
      <c r="K138" s="8">
        <f t="shared" si="45"/>
        <v>134.75999999999871</v>
      </c>
    </row>
    <row r="139" spans="1:11" x14ac:dyDescent="0.25">
      <c r="A139" s="8" t="s">
        <v>739</v>
      </c>
      <c r="B139" s="8" t="s">
        <v>91</v>
      </c>
      <c r="C139" s="8">
        <v>3000037686</v>
      </c>
      <c r="D139" s="8"/>
      <c r="E139" s="8">
        <v>5000270766</v>
      </c>
      <c r="F139" s="8">
        <v>498.4</v>
      </c>
      <c r="G139" s="1" t="s">
        <v>392</v>
      </c>
      <c r="H139" s="189">
        <v>74.75</v>
      </c>
      <c r="I139" s="189">
        <v>75.05</v>
      </c>
      <c r="J139" s="8">
        <f t="shared" si="44"/>
        <v>0.29999999999999716</v>
      </c>
      <c r="K139" s="8">
        <f t="shared" si="45"/>
        <v>149.51999999999859</v>
      </c>
    </row>
    <row r="140" spans="1:11" x14ac:dyDescent="0.25">
      <c r="A140" s="8" t="s">
        <v>737</v>
      </c>
      <c r="B140" s="8" t="s">
        <v>215</v>
      </c>
      <c r="C140" s="8">
        <v>3000037799</v>
      </c>
      <c r="D140" s="8"/>
      <c r="E140" s="8">
        <v>5000271966</v>
      </c>
      <c r="F140" s="8">
        <v>499.7</v>
      </c>
      <c r="G140" s="1" t="s">
        <v>392</v>
      </c>
      <c r="H140" s="189">
        <v>74.75</v>
      </c>
      <c r="I140" s="189">
        <v>75.05</v>
      </c>
      <c r="J140" s="8">
        <f t="shared" si="44"/>
        <v>0.29999999999999716</v>
      </c>
      <c r="K140" s="8">
        <f t="shared" si="45"/>
        <v>149.90999999999858</v>
      </c>
    </row>
    <row r="141" spans="1:11" x14ac:dyDescent="0.25">
      <c r="A141" s="8"/>
      <c r="B141" s="8"/>
      <c r="C141" s="8"/>
      <c r="D141" s="8"/>
      <c r="E141" s="8"/>
      <c r="F141" s="8">
        <f>SUM(F136:F140)</f>
        <v>2182.6999999999998</v>
      </c>
      <c r="G141" s="8"/>
      <c r="H141" s="8"/>
      <c r="I141" s="8"/>
      <c r="J141" s="8"/>
      <c r="K141" s="189">
        <f>SUM(K136:K140)</f>
        <v>705.85999999999672</v>
      </c>
    </row>
    <row r="142" spans="1:1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x14ac:dyDescent="0.25">
      <c r="A143" s="5" t="s">
        <v>782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5" t="s">
        <v>784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5"/>
      <c r="B145" s="1" t="s">
        <v>169</v>
      </c>
      <c r="C145" s="1" t="s">
        <v>770</v>
      </c>
      <c r="D145" s="1" t="s">
        <v>771</v>
      </c>
      <c r="E145" s="1" t="s">
        <v>618</v>
      </c>
      <c r="F145" s="1" t="s">
        <v>22</v>
      </c>
      <c r="G145" s="1"/>
      <c r="H145" s="1" t="s">
        <v>763</v>
      </c>
      <c r="I145" s="1" t="s">
        <v>764</v>
      </c>
      <c r="J145" s="1" t="s">
        <v>52</v>
      </c>
      <c r="K145" s="1" t="s">
        <v>21</v>
      </c>
    </row>
    <row r="146" spans="1:11" x14ac:dyDescent="0.25">
      <c r="A146" s="1" t="s">
        <v>734</v>
      </c>
      <c r="B146" s="1" t="s">
        <v>484</v>
      </c>
      <c r="C146" s="1">
        <v>3000038021</v>
      </c>
      <c r="D146" s="1"/>
      <c r="E146" s="1">
        <v>5000275012</v>
      </c>
      <c r="F146" s="1">
        <v>444</v>
      </c>
      <c r="G146" s="1" t="s">
        <v>392</v>
      </c>
      <c r="H146" s="1">
        <v>72.5</v>
      </c>
      <c r="I146" s="4">
        <v>76.3</v>
      </c>
      <c r="J146" s="1">
        <f>I146-H146</f>
        <v>3.7999999999999972</v>
      </c>
      <c r="K146" s="1">
        <f>J146*F146</f>
        <v>1687.1999999999987</v>
      </c>
    </row>
    <row r="147" spans="1:11" x14ac:dyDescent="0.25">
      <c r="A147" s="1" t="s">
        <v>738</v>
      </c>
      <c r="B147" s="1" t="s">
        <v>484</v>
      </c>
      <c r="C147" s="1">
        <v>3000037176</v>
      </c>
      <c r="D147" s="1"/>
      <c r="E147" s="1">
        <v>5000273321</v>
      </c>
      <c r="F147" s="1">
        <v>115</v>
      </c>
      <c r="G147" s="1" t="s">
        <v>392</v>
      </c>
      <c r="H147" s="1">
        <v>72.5</v>
      </c>
      <c r="I147" s="4">
        <v>76.3</v>
      </c>
      <c r="J147" s="1">
        <f t="shared" ref="J147:J156" si="46">I147-H147</f>
        <v>3.7999999999999972</v>
      </c>
      <c r="K147" s="1">
        <f t="shared" ref="K147:K156" si="47">J147*F147</f>
        <v>436.99999999999966</v>
      </c>
    </row>
    <row r="148" spans="1:11" x14ac:dyDescent="0.25">
      <c r="A148" s="1" t="s">
        <v>738</v>
      </c>
      <c r="B148" s="1" t="s">
        <v>484</v>
      </c>
      <c r="C148" s="1">
        <v>3000034196</v>
      </c>
      <c r="D148" s="1"/>
      <c r="E148" s="1">
        <v>5000273321</v>
      </c>
      <c r="F148" s="1">
        <v>483</v>
      </c>
      <c r="G148" s="1" t="s">
        <v>392</v>
      </c>
      <c r="H148" s="1">
        <v>72.5</v>
      </c>
      <c r="I148" s="4">
        <v>76.3</v>
      </c>
      <c r="J148" s="1">
        <f t="shared" si="46"/>
        <v>3.7999999999999972</v>
      </c>
      <c r="K148" s="1">
        <f t="shared" si="47"/>
        <v>1835.3999999999987</v>
      </c>
    </row>
    <row r="149" spans="1:11" x14ac:dyDescent="0.25">
      <c r="A149" s="1" t="s">
        <v>738</v>
      </c>
      <c r="B149" s="1" t="s">
        <v>484</v>
      </c>
      <c r="C149" s="1">
        <v>3000038021</v>
      </c>
      <c r="D149" s="1"/>
      <c r="E149" s="1">
        <v>5000273321</v>
      </c>
      <c r="F149" s="2">
        <v>1882</v>
      </c>
      <c r="G149" s="1" t="s">
        <v>392</v>
      </c>
      <c r="H149" s="1">
        <v>72.5</v>
      </c>
      <c r="I149" s="4">
        <v>76.3</v>
      </c>
      <c r="J149" s="1">
        <f t="shared" si="46"/>
        <v>3.7999999999999972</v>
      </c>
      <c r="K149" s="1">
        <f t="shared" si="47"/>
        <v>7151.5999999999949</v>
      </c>
    </row>
    <row r="150" spans="1:11" x14ac:dyDescent="0.25">
      <c r="A150" s="1" t="s">
        <v>736</v>
      </c>
      <c r="B150" s="1" t="s">
        <v>484</v>
      </c>
      <c r="C150" s="1">
        <v>3000034196</v>
      </c>
      <c r="D150" s="1"/>
      <c r="E150" s="1">
        <v>5000272296</v>
      </c>
      <c r="F150" s="2">
        <v>1390</v>
      </c>
      <c r="G150" s="1" t="s">
        <v>392</v>
      </c>
      <c r="H150" s="1">
        <v>72.5</v>
      </c>
      <c r="I150" s="4">
        <v>76.3</v>
      </c>
      <c r="J150" s="1">
        <f t="shared" si="46"/>
        <v>3.7999999999999972</v>
      </c>
      <c r="K150" s="1">
        <f t="shared" si="47"/>
        <v>5281.9999999999964</v>
      </c>
    </row>
    <row r="151" spans="1:11" x14ac:dyDescent="0.25">
      <c r="A151" s="1" t="s">
        <v>739</v>
      </c>
      <c r="B151" s="1" t="s">
        <v>484</v>
      </c>
      <c r="C151" s="1">
        <v>3000037210</v>
      </c>
      <c r="D151" s="1"/>
      <c r="E151" s="1">
        <v>5000270786</v>
      </c>
      <c r="F151" s="2">
        <v>1819</v>
      </c>
      <c r="G151" s="1" t="s">
        <v>392</v>
      </c>
      <c r="H151" s="1">
        <v>72.5</v>
      </c>
      <c r="I151" s="4">
        <v>76.3</v>
      </c>
      <c r="J151" s="1">
        <f t="shared" si="46"/>
        <v>3.7999999999999972</v>
      </c>
      <c r="K151" s="1">
        <f t="shared" si="47"/>
        <v>6912.1999999999953</v>
      </c>
    </row>
    <row r="152" spans="1:11" x14ac:dyDescent="0.25">
      <c r="A152" s="1" t="s">
        <v>740</v>
      </c>
      <c r="B152" s="1" t="s">
        <v>484</v>
      </c>
      <c r="C152" s="1">
        <v>3000037210</v>
      </c>
      <c r="D152" s="1"/>
      <c r="E152" s="1">
        <v>5000270592</v>
      </c>
      <c r="F152" s="2">
        <v>2804</v>
      </c>
      <c r="G152" s="1" t="s">
        <v>392</v>
      </c>
      <c r="H152" s="1">
        <v>72.5</v>
      </c>
      <c r="I152" s="4">
        <v>76.3</v>
      </c>
      <c r="J152" s="1">
        <f t="shared" si="46"/>
        <v>3.7999999999999972</v>
      </c>
      <c r="K152" s="1">
        <f t="shared" si="47"/>
        <v>10655.199999999992</v>
      </c>
    </row>
    <row r="153" spans="1:11" x14ac:dyDescent="0.25">
      <c r="A153" s="1" t="s">
        <v>741</v>
      </c>
      <c r="B153" s="1" t="s">
        <v>484</v>
      </c>
      <c r="C153" s="1">
        <v>3000034258</v>
      </c>
      <c r="D153" s="1"/>
      <c r="E153" s="1">
        <v>5000269928</v>
      </c>
      <c r="F153" s="2">
        <v>1442</v>
      </c>
      <c r="G153" s="1" t="s">
        <v>392</v>
      </c>
      <c r="H153" s="1">
        <v>72.5</v>
      </c>
      <c r="I153" s="4">
        <v>76.3</v>
      </c>
      <c r="J153" s="1">
        <f t="shared" si="46"/>
        <v>3.7999999999999972</v>
      </c>
      <c r="K153" s="1">
        <f t="shared" si="47"/>
        <v>5479.5999999999958</v>
      </c>
    </row>
    <row r="154" spans="1:11" x14ac:dyDescent="0.25">
      <c r="A154" s="1" t="s">
        <v>741</v>
      </c>
      <c r="B154" s="1" t="s">
        <v>484</v>
      </c>
      <c r="C154" s="1">
        <v>3000037176</v>
      </c>
      <c r="D154" s="1"/>
      <c r="E154" s="1">
        <v>5000269928</v>
      </c>
      <c r="F154" s="2">
        <v>1585</v>
      </c>
      <c r="G154" s="1" t="s">
        <v>392</v>
      </c>
      <c r="H154" s="1">
        <v>72.5</v>
      </c>
      <c r="I154" s="4">
        <v>76.3</v>
      </c>
      <c r="J154" s="1">
        <f t="shared" si="46"/>
        <v>3.7999999999999972</v>
      </c>
      <c r="K154" s="1">
        <f t="shared" si="47"/>
        <v>6022.9999999999955</v>
      </c>
    </row>
    <row r="155" spans="1:11" x14ac:dyDescent="0.25">
      <c r="A155" s="1" t="s">
        <v>739</v>
      </c>
      <c r="B155" s="1" t="s">
        <v>224</v>
      </c>
      <c r="C155" s="1">
        <v>3000033401</v>
      </c>
      <c r="D155" s="1"/>
      <c r="E155" s="1">
        <v>5000270786</v>
      </c>
      <c r="F155" s="2">
        <v>1540</v>
      </c>
      <c r="G155" s="1"/>
      <c r="H155" s="1">
        <v>72.5</v>
      </c>
      <c r="I155" s="4">
        <v>76.3</v>
      </c>
      <c r="J155" s="1">
        <f t="shared" si="46"/>
        <v>3.7999999999999972</v>
      </c>
      <c r="K155" s="1">
        <f t="shared" si="47"/>
        <v>5851.9999999999955</v>
      </c>
    </row>
    <row r="156" spans="1:11" x14ac:dyDescent="0.25">
      <c r="A156" s="1" t="s">
        <v>739</v>
      </c>
      <c r="B156" s="1" t="s">
        <v>224</v>
      </c>
      <c r="C156" s="1">
        <v>3000034196</v>
      </c>
      <c r="D156" s="1"/>
      <c r="E156" s="1">
        <v>5000270786</v>
      </c>
      <c r="F156" s="2">
        <v>15</v>
      </c>
      <c r="G156" s="1" t="s">
        <v>392</v>
      </c>
      <c r="H156" s="1">
        <v>72.5</v>
      </c>
      <c r="I156" s="4">
        <v>76.3</v>
      </c>
      <c r="J156" s="1">
        <f t="shared" si="46"/>
        <v>3.7999999999999972</v>
      </c>
      <c r="K156" s="1">
        <f t="shared" si="47"/>
        <v>56.999999999999957</v>
      </c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>
        <f>SUM(F146:F157)</f>
        <v>13519</v>
      </c>
      <c r="G158" s="1"/>
      <c r="H158" s="1"/>
      <c r="I158" s="1"/>
      <c r="J158" s="1" t="s">
        <v>58</v>
      </c>
      <c r="K158" s="1">
        <f>SUM(K146:K156)</f>
        <v>51372.199999999961</v>
      </c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8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8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8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8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8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8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8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8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8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8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8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1" x14ac:dyDescent="0.25">
      <c r="A171" s="1"/>
      <c r="B171" s="1"/>
      <c r="C171" s="1"/>
      <c r="D171" s="143">
        <v>0.125</v>
      </c>
      <c r="E171" s="144">
        <v>0.02</v>
      </c>
      <c r="F171" s="1" t="s">
        <v>698</v>
      </c>
      <c r="G171" s="1"/>
      <c r="H171" s="1"/>
      <c r="I171" s="1"/>
      <c r="J171" s="1"/>
    </row>
    <row r="172" spans="1:11" x14ac:dyDescent="0.25">
      <c r="A172" s="1">
        <v>1001438</v>
      </c>
      <c r="B172" s="1" t="s">
        <v>700</v>
      </c>
      <c r="C172" s="3">
        <v>6593</v>
      </c>
      <c r="D172" s="3">
        <f>C172*D171</f>
        <v>824.125</v>
      </c>
      <c r="E172" s="3">
        <f>(C172+D172)*E171</f>
        <v>148.3425</v>
      </c>
      <c r="F172" s="3">
        <v>25</v>
      </c>
      <c r="G172" s="3">
        <f>SUM(C172:F172)</f>
        <v>7590.4674999999997</v>
      </c>
      <c r="H172" s="1"/>
      <c r="I172" s="1"/>
      <c r="J172" s="164">
        <f>G172*69</f>
        <v>523742.25750000001</v>
      </c>
    </row>
    <row r="173" spans="1:11" x14ac:dyDescent="0.25">
      <c r="A173" s="1">
        <v>1001438</v>
      </c>
      <c r="B173" s="1" t="s">
        <v>700</v>
      </c>
      <c r="C173" s="5">
        <v>6250</v>
      </c>
      <c r="D173" s="144">
        <v>0.04</v>
      </c>
      <c r="E173" s="1">
        <f>C173*D173</f>
        <v>250</v>
      </c>
      <c r="F173" s="1"/>
      <c r="G173" s="1">
        <f>C173</f>
        <v>6250</v>
      </c>
      <c r="H173" s="1"/>
      <c r="I173" s="1"/>
      <c r="J173" s="164">
        <f>G173*69</f>
        <v>431250</v>
      </c>
    </row>
    <row r="174" spans="1:11" x14ac:dyDescent="0.25">
      <c r="A174" s="1"/>
      <c r="B174" s="1">
        <f>242000/1000</f>
        <v>242</v>
      </c>
      <c r="C174" s="1"/>
      <c r="D174" s="1"/>
      <c r="E174" s="1"/>
      <c r="F174" s="1"/>
      <c r="G174" s="3">
        <f>G172-G173</f>
        <v>1340.4674999999997</v>
      </c>
      <c r="H174" s="1"/>
      <c r="I174" s="1"/>
      <c r="J174" s="1">
        <f>J172-J173</f>
        <v>92492.257500000007</v>
      </c>
    </row>
    <row r="175" spans="1:11" x14ac:dyDescent="0.25">
      <c r="A175" s="1"/>
      <c r="B175" s="145">
        <v>6313</v>
      </c>
      <c r="C175" s="1">
        <v>69000</v>
      </c>
      <c r="D175" s="1"/>
      <c r="E175" s="1"/>
      <c r="F175" s="1"/>
      <c r="G175" s="1"/>
      <c r="H175" s="1"/>
      <c r="I175" s="1"/>
      <c r="J175" s="1"/>
    </row>
    <row r="176" spans="1:11" x14ac:dyDescent="0.25">
      <c r="A176" s="1"/>
      <c r="B176" s="145">
        <v>6593</v>
      </c>
      <c r="C176" s="1"/>
      <c r="D176" s="1"/>
      <c r="E176" s="1"/>
      <c r="F176" s="1"/>
      <c r="G176" s="1">
        <f>G174*20</f>
        <v>26809.349999999995</v>
      </c>
      <c r="H176" s="1"/>
      <c r="I176" s="1"/>
      <c r="J176" s="1"/>
    </row>
    <row r="177" spans="1:10" x14ac:dyDescent="0.25">
      <c r="A177" s="1"/>
      <c r="B177" s="145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45">
        <v>6798</v>
      </c>
      <c r="C178" s="1"/>
      <c r="D178" s="1"/>
      <c r="E178" s="1"/>
      <c r="F178" s="1"/>
      <c r="G178" s="1"/>
      <c r="H178" s="1"/>
      <c r="I178" s="1"/>
      <c r="J178" s="1"/>
    </row>
    <row r="180" spans="1:10" x14ac:dyDescent="0.25">
      <c r="B180" t="s">
        <v>775</v>
      </c>
      <c r="C180">
        <v>189000</v>
      </c>
    </row>
    <row r="181" spans="1:10" x14ac:dyDescent="0.25">
      <c r="B181" t="s">
        <v>776</v>
      </c>
      <c r="C181">
        <v>242000</v>
      </c>
    </row>
    <row r="182" spans="1:10" x14ac:dyDescent="0.25">
      <c r="C182">
        <v>69000</v>
      </c>
    </row>
    <row r="183" spans="1:10" x14ac:dyDescent="0.25">
      <c r="C183">
        <f>SUM(C180:C182)</f>
        <v>500000</v>
      </c>
    </row>
  </sheetData>
  <mergeCells count="2">
    <mergeCell ref="G67:J67"/>
    <mergeCell ref="K67:N6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4" zoomScale="86" zoomScaleNormal="86" workbookViewId="0">
      <selection activeCell="G20" sqref="G20"/>
    </sheetView>
  </sheetViews>
  <sheetFormatPr defaultColWidth="19.7109375" defaultRowHeight="15" x14ac:dyDescent="0.25"/>
  <cols>
    <col min="2" max="2" width="21.5703125" bestFit="1" customWidth="1"/>
    <col min="3" max="3" width="34.5703125" style="29" customWidth="1"/>
    <col min="4" max="4" width="13.85546875" bestFit="1" customWidth="1"/>
    <col min="5" max="5" width="14.140625" customWidth="1"/>
    <col min="6" max="7" width="20.42578125" bestFit="1" customWidth="1"/>
    <col min="8" max="8" width="15.140625" customWidth="1"/>
    <col min="9" max="9" width="24" bestFit="1" customWidth="1"/>
    <col min="10" max="10" width="10.85546875" customWidth="1"/>
  </cols>
  <sheetData>
    <row r="2" spans="2:11" ht="21" x14ac:dyDescent="0.35">
      <c r="B2" s="71" t="s">
        <v>731</v>
      </c>
    </row>
    <row r="3" spans="2:11" ht="27" x14ac:dyDescent="0.25">
      <c r="B3" s="27" t="s">
        <v>77</v>
      </c>
      <c r="C3" s="27" t="s">
        <v>32</v>
      </c>
      <c r="D3" s="22" t="s">
        <v>33</v>
      </c>
      <c r="E3" s="22" t="s">
        <v>24</v>
      </c>
      <c r="F3" s="22" t="s">
        <v>34</v>
      </c>
      <c r="G3" s="22" t="s">
        <v>35</v>
      </c>
      <c r="H3" s="22" t="s">
        <v>36</v>
      </c>
      <c r="I3" s="21" t="s">
        <v>37</v>
      </c>
      <c r="J3" s="1" t="s">
        <v>57</v>
      </c>
    </row>
    <row r="4" spans="2:11" ht="27" x14ac:dyDescent="0.25">
      <c r="B4" s="131" t="s">
        <v>568</v>
      </c>
      <c r="C4" s="65" t="s">
        <v>99</v>
      </c>
      <c r="D4" s="105">
        <f>'Oct 2016'!D14+'Consol NOV2016'!D4+'Consol DEC2016'!D4</f>
        <v>3626560</v>
      </c>
      <c r="E4" s="15" t="s">
        <v>39</v>
      </c>
      <c r="F4" s="15" t="s">
        <v>100</v>
      </c>
      <c r="G4" s="104"/>
      <c r="H4" s="104">
        <f>'Oct 2016'!J14+'Consol NOV2016'!H4+'Consol DEC2016'!H4</f>
        <v>56983.519999999873</v>
      </c>
      <c r="I4" s="92" t="s">
        <v>101</v>
      </c>
      <c r="J4" s="23"/>
      <c r="K4">
        <v>1</v>
      </c>
    </row>
    <row r="5" spans="2:11" ht="27" x14ac:dyDescent="0.25">
      <c r="B5" s="131" t="s">
        <v>569</v>
      </c>
      <c r="C5" s="65" t="s">
        <v>570</v>
      </c>
      <c r="D5" s="105">
        <f>'Oct 2016'!E14+'Consol NOV2016'!D5+'Consol DEC2016'!D5</f>
        <v>3338400</v>
      </c>
      <c r="E5" s="15" t="s">
        <v>39</v>
      </c>
      <c r="F5" s="15" t="s">
        <v>571</v>
      </c>
      <c r="G5" s="104">
        <f>'Oct 2016'!N14+'Consol NOV2016'!G5+'Consol DEC2016'!G5</f>
        <v>16240.800000000014</v>
      </c>
      <c r="H5" s="104"/>
      <c r="I5" s="92" t="s">
        <v>101</v>
      </c>
      <c r="J5" s="23" t="s">
        <v>48</v>
      </c>
      <c r="K5">
        <v>2</v>
      </c>
    </row>
    <row r="6" spans="2:11" ht="27" x14ac:dyDescent="0.25">
      <c r="B6" s="30" t="s">
        <v>98</v>
      </c>
      <c r="C6" s="65" t="s">
        <v>102</v>
      </c>
      <c r="D6" s="105">
        <f>'Oct 2016'!F38+'Consol NOV2016'!D6+'Consol DEC2016'!D6</f>
        <v>39124</v>
      </c>
      <c r="E6" s="15" t="s">
        <v>23</v>
      </c>
      <c r="F6" s="15" t="s">
        <v>103</v>
      </c>
      <c r="G6" s="104"/>
      <c r="H6" s="104">
        <f>'Oct 2016'!J38+'Consol NOV2016'!H6+'Consol DEC2016'!H6</f>
        <v>98265.299999999843</v>
      </c>
      <c r="I6" s="92" t="s">
        <v>101</v>
      </c>
      <c r="J6" s="23" t="s">
        <v>48</v>
      </c>
      <c r="K6">
        <v>3</v>
      </c>
    </row>
    <row r="7" spans="2:11" x14ac:dyDescent="0.25">
      <c r="B7" s="30" t="s">
        <v>299</v>
      </c>
      <c r="C7" s="65" t="s">
        <v>418</v>
      </c>
      <c r="D7" s="105">
        <f>'Oct 2016'!F46+'Consol NOV2016'!D7+'Consol DEC2016'!D7</f>
        <v>124500</v>
      </c>
      <c r="E7" s="15" t="s">
        <v>29</v>
      </c>
      <c r="F7" s="15" t="s">
        <v>419</v>
      </c>
      <c r="G7" s="104">
        <f>'Oct 2016'!J46+'Consol NOV2016'!G7+'Consol DEC2016'!G7</f>
        <v>52507.5</v>
      </c>
      <c r="H7" s="104"/>
      <c r="I7" s="92" t="s">
        <v>301</v>
      </c>
      <c r="J7" s="23" t="s">
        <v>48</v>
      </c>
      <c r="K7">
        <v>4</v>
      </c>
    </row>
    <row r="8" spans="2:11" ht="27" x14ac:dyDescent="0.25">
      <c r="B8" s="30" t="s">
        <v>308</v>
      </c>
      <c r="C8" s="72" t="s">
        <v>30</v>
      </c>
      <c r="D8" s="105">
        <f>'SEP2016'!F161+'Consol DEC2016'!D13</f>
        <v>1665.3</v>
      </c>
      <c r="E8" s="15" t="s">
        <v>23</v>
      </c>
      <c r="F8" s="15" t="s">
        <v>307</v>
      </c>
      <c r="G8" s="104">
        <f>'SEP2016'!J161+'Consol DEC2016'!G13</f>
        <v>11843.385000000006</v>
      </c>
      <c r="H8" s="104"/>
      <c r="I8" s="92" t="s">
        <v>97</v>
      </c>
      <c r="J8" s="23" t="s">
        <v>48</v>
      </c>
      <c r="K8">
        <v>5</v>
      </c>
    </row>
    <row r="9" spans="2:11" x14ac:dyDescent="0.25">
      <c r="B9" s="62" t="s">
        <v>572</v>
      </c>
      <c r="C9" s="62" t="s">
        <v>47</v>
      </c>
      <c r="D9" s="55">
        <f>'Oct 2016'!D73+'Consol NOV2016'!D8+'Consol DEC2016'!D8</f>
        <v>971370</v>
      </c>
      <c r="E9" s="56" t="s">
        <v>29</v>
      </c>
      <c r="F9" s="56" t="s">
        <v>55</v>
      </c>
      <c r="G9" s="88">
        <f>'Oct 2016'!J73+'Consol NOV2016'!G8+'Consol DEC2016'!G8</f>
        <v>131067.7</v>
      </c>
      <c r="H9" s="88"/>
      <c r="I9" s="79" t="s">
        <v>41</v>
      </c>
      <c r="J9" s="58" t="s">
        <v>48</v>
      </c>
      <c r="K9">
        <v>6</v>
      </c>
    </row>
    <row r="10" spans="2:11" ht="27.75" x14ac:dyDescent="0.25">
      <c r="B10" s="62" t="s">
        <v>575</v>
      </c>
      <c r="C10" s="62" t="s">
        <v>573</v>
      </c>
      <c r="D10" s="55">
        <f>'Oct 2016'!F73+'Consol NOV2016'!D9+'Consol DEC2016'!D9</f>
        <v>781130</v>
      </c>
      <c r="E10" s="56" t="s">
        <v>29</v>
      </c>
      <c r="F10" s="56" t="s">
        <v>574</v>
      </c>
      <c r="G10" s="88">
        <f>'Oct 2016'!N73+'Consol NOV2016'!G9+'Consol DEC2016'!G9</f>
        <v>70390.2</v>
      </c>
      <c r="H10" s="88"/>
      <c r="I10" s="79" t="s">
        <v>41</v>
      </c>
      <c r="J10" s="58"/>
      <c r="K10">
        <v>7</v>
      </c>
    </row>
    <row r="11" spans="2:11" x14ac:dyDescent="0.25">
      <c r="B11" s="62" t="s">
        <v>576</v>
      </c>
      <c r="C11" s="62" t="s">
        <v>629</v>
      </c>
      <c r="D11" s="84">
        <f>'Oct 2016'!D79</f>
        <v>48840</v>
      </c>
      <c r="E11" s="56" t="s">
        <v>25</v>
      </c>
      <c r="F11" s="56" t="s">
        <v>578</v>
      </c>
      <c r="G11" s="84">
        <f>'Oct 2016'!J79</f>
        <v>10012.200000000001</v>
      </c>
      <c r="H11" s="84"/>
      <c r="I11" s="96" t="s">
        <v>579</v>
      </c>
      <c r="J11" s="58"/>
      <c r="K11">
        <v>8</v>
      </c>
    </row>
    <row r="12" spans="2:11" ht="30" x14ac:dyDescent="0.25">
      <c r="B12" s="62" t="s">
        <v>728</v>
      </c>
      <c r="C12" s="62" t="s">
        <v>629</v>
      </c>
      <c r="D12" s="84">
        <f>'Consol NOV2016'!D10</f>
        <v>242000</v>
      </c>
      <c r="E12" s="56" t="s">
        <v>25</v>
      </c>
      <c r="F12" s="56" t="s">
        <v>779</v>
      </c>
      <c r="G12" s="84">
        <f>'Consol NOV2016'!G10</f>
        <v>318403.63500000001</v>
      </c>
      <c r="H12" s="84"/>
      <c r="I12" s="96" t="s">
        <v>701</v>
      </c>
      <c r="J12" s="58"/>
      <c r="K12">
        <v>9</v>
      </c>
    </row>
    <row r="13" spans="2:11" x14ac:dyDescent="0.25">
      <c r="B13" s="140">
        <v>42644</v>
      </c>
      <c r="C13" s="62" t="s">
        <v>646</v>
      </c>
      <c r="D13" s="139">
        <f>77.4+'Consol NOV2016'!D11</f>
        <v>169.03502290875574</v>
      </c>
      <c r="E13" s="56" t="s">
        <v>46</v>
      </c>
      <c r="F13" s="56" t="s">
        <v>303</v>
      </c>
      <c r="G13" s="88"/>
      <c r="H13" s="88">
        <f>'Consol NOV2016'!H11+'Consol OCT 2016 '!H12</f>
        <v>507105.0687262672</v>
      </c>
      <c r="I13" s="79"/>
      <c r="J13" s="58" t="s">
        <v>49</v>
      </c>
      <c r="K13">
        <v>10</v>
      </c>
    </row>
    <row r="14" spans="2:11" ht="30" x14ac:dyDescent="0.25">
      <c r="B14" s="69" t="s">
        <v>630</v>
      </c>
      <c r="C14" s="62" t="s">
        <v>631</v>
      </c>
      <c r="D14" s="55">
        <f>'Oct 2016'!D91+'Consol NOV2016'!D12+'Consol DEC2016'!D10</f>
        <v>4153646</v>
      </c>
      <c r="E14" s="56" t="s">
        <v>25</v>
      </c>
      <c r="F14" s="56" t="s">
        <v>634</v>
      </c>
      <c r="G14" s="88">
        <f>'Oct 2016'!J91+'Consol NOV2016'!G12+'Consol DEC2016'!G10</f>
        <v>38632.236999999994</v>
      </c>
      <c r="H14" s="88"/>
      <c r="I14" s="79" t="s">
        <v>633</v>
      </c>
      <c r="J14" s="58" t="s">
        <v>48</v>
      </c>
      <c r="K14">
        <v>11</v>
      </c>
    </row>
    <row r="15" spans="2:11" x14ac:dyDescent="0.25">
      <c r="B15" s="69" t="s">
        <v>260</v>
      </c>
      <c r="C15" s="62" t="s">
        <v>219</v>
      </c>
      <c r="D15" s="55">
        <f>'Consol NOV2016'!D13+'Consol DEC2016'!D11</f>
        <v>1557750</v>
      </c>
      <c r="E15" s="56" t="s">
        <v>25</v>
      </c>
      <c r="F15" s="56" t="s">
        <v>297</v>
      </c>
      <c r="G15" s="88">
        <f>11311+'Consol DEC2016'!G11</f>
        <v>54764.125</v>
      </c>
      <c r="H15" s="88"/>
      <c r="I15" s="79"/>
      <c r="J15" s="58" t="s">
        <v>49</v>
      </c>
      <c r="K15">
        <v>12</v>
      </c>
    </row>
    <row r="16" spans="2:11" x14ac:dyDescent="0.25">
      <c r="B16" s="69" t="s">
        <v>630</v>
      </c>
      <c r="C16" s="62" t="s">
        <v>632</v>
      </c>
      <c r="D16" s="55">
        <f>'Oct 2016'!D92</f>
        <v>25000</v>
      </c>
      <c r="E16" s="56" t="s">
        <v>25</v>
      </c>
      <c r="F16" s="56" t="s">
        <v>635</v>
      </c>
      <c r="G16" s="88">
        <f>'Oct 2016'!J92</f>
        <v>24575.000000000004</v>
      </c>
      <c r="H16" s="88"/>
      <c r="I16" s="79" t="s">
        <v>633</v>
      </c>
      <c r="J16" s="58" t="s">
        <v>48</v>
      </c>
      <c r="K16">
        <v>13</v>
      </c>
    </row>
    <row r="17" spans="2:11" ht="30" x14ac:dyDescent="0.25">
      <c r="B17" s="69" t="s">
        <v>630</v>
      </c>
      <c r="C17" s="62" t="s">
        <v>638</v>
      </c>
      <c r="D17" s="55">
        <v>3037</v>
      </c>
      <c r="E17" s="56" t="s">
        <v>25</v>
      </c>
      <c r="F17" s="56" t="s">
        <v>636</v>
      </c>
      <c r="G17" s="88">
        <f>'Oct 2016'!J103</f>
        <v>51037.599999999999</v>
      </c>
      <c r="H17" s="88"/>
      <c r="I17" s="79" t="s">
        <v>637</v>
      </c>
      <c r="J17" s="58" t="s">
        <v>48</v>
      </c>
      <c r="K17">
        <v>14</v>
      </c>
    </row>
    <row r="18" spans="2:11" ht="30" x14ac:dyDescent="0.25">
      <c r="B18" s="138" t="s">
        <v>645</v>
      </c>
      <c r="C18" s="62" t="s">
        <v>639</v>
      </c>
      <c r="D18" s="55">
        <f>'Oct 2016'!D106</f>
        <v>51000</v>
      </c>
      <c r="E18" s="56"/>
      <c r="F18" s="137" t="s">
        <v>643</v>
      </c>
      <c r="G18" s="88">
        <f>'Oct 2016'!J108</f>
        <v>12750</v>
      </c>
      <c r="H18" s="88">
        <f>0.38*D18</f>
        <v>19380</v>
      </c>
      <c r="I18" s="79" t="s">
        <v>644</v>
      </c>
      <c r="J18" s="58" t="s">
        <v>48</v>
      </c>
      <c r="K18">
        <v>15</v>
      </c>
    </row>
    <row r="19" spans="2:11" x14ac:dyDescent="0.25">
      <c r="B19" s="69" t="s">
        <v>630</v>
      </c>
      <c r="C19" s="62" t="s">
        <v>641</v>
      </c>
      <c r="D19" s="55">
        <f>'Oct 2016'!D112</f>
        <v>2700</v>
      </c>
      <c r="E19" s="56"/>
      <c r="F19" s="56" t="s">
        <v>642</v>
      </c>
      <c r="G19" s="88">
        <f>'Oct 2016'!J112</f>
        <v>7218.0990000000002</v>
      </c>
      <c r="H19" s="88"/>
      <c r="I19" s="79" t="s">
        <v>648</v>
      </c>
      <c r="J19" s="58" t="s">
        <v>48</v>
      </c>
      <c r="K19">
        <v>16</v>
      </c>
    </row>
    <row r="20" spans="2:11" x14ac:dyDescent="0.25">
      <c r="B20" s="69" t="s">
        <v>630</v>
      </c>
      <c r="C20" s="62" t="s">
        <v>640</v>
      </c>
      <c r="D20" s="55">
        <f>'Oct 2016'!D115+'Consol NOV2016'!D14+'Consol DEC2016'!D12</f>
        <v>3438.35</v>
      </c>
      <c r="E20" s="56"/>
      <c r="F20" s="56">
        <v>8.64</v>
      </c>
      <c r="G20" s="88">
        <f>D20*F20</f>
        <v>29707.344000000001</v>
      </c>
      <c r="H20" s="88"/>
      <c r="I20" s="79" t="s">
        <v>647</v>
      </c>
      <c r="J20" s="58" t="s">
        <v>48</v>
      </c>
      <c r="K20">
        <v>17</v>
      </c>
    </row>
    <row r="21" spans="2:11" ht="19.5" x14ac:dyDescent="0.25">
      <c r="B21" s="19"/>
      <c r="C21" s="201" t="s">
        <v>42</v>
      </c>
      <c r="D21" s="202"/>
      <c r="E21" s="31"/>
      <c r="F21" s="31"/>
      <c r="G21" s="93">
        <f>SUM(G4:G20)</f>
        <v>829149.82500000007</v>
      </c>
      <c r="H21" s="93">
        <f>SUM(H4:H20)</f>
        <v>681733.88872626692</v>
      </c>
      <c r="I21" s="94">
        <f>SUM(G21:H21)</f>
        <v>1510883.713726267</v>
      </c>
      <c r="J21" s="23"/>
      <c r="K21">
        <v>18</v>
      </c>
    </row>
    <row r="22" spans="2:11" x14ac:dyDescent="0.25">
      <c r="F22" s="137">
        <f>3438*8.64</f>
        <v>29704.320000000003</v>
      </c>
    </row>
    <row r="24" spans="2:11" x14ac:dyDescent="0.25">
      <c r="D24">
        <f>'Consol DEC2016'!G14+'Consol NOV2016'!G15+'Consol OCT 2016 '!G19</f>
        <v>829149.82499999995</v>
      </c>
      <c r="E24">
        <f>'Consol DEC2016'!H14+'Consol NOV2016'!H15+'Consol OCT 2016 '!H19</f>
        <v>681733.88872626703</v>
      </c>
    </row>
    <row r="26" spans="2:11" x14ac:dyDescent="0.25">
      <c r="H26">
        <f>'Consol DEC2016'!I14+'Consol NOV2016'!I15+'Consol OCT 2016 '!I19</f>
        <v>1510883.713726267</v>
      </c>
    </row>
    <row r="28" spans="2:11" x14ac:dyDescent="0.25">
      <c r="C28" t="s">
        <v>294</v>
      </c>
      <c r="D28" s="18">
        <f>H13+'YTD FY2016-17 JUL2016'!H14</f>
        <v>785259.13826478459</v>
      </c>
      <c r="E28">
        <v>510354</v>
      </c>
    </row>
    <row r="29" spans="2:11" x14ac:dyDescent="0.25">
      <c r="C29" t="s">
        <v>649</v>
      </c>
      <c r="D29" s="18">
        <f>'Q2JUL-SEP2016'!H19+'YTD FY2016-17 JUL2016'!G13+'Consol JUNE2016'!G9+'Consol May2016'!G8</f>
        <v>175819.78571428574</v>
      </c>
      <c r="E29">
        <v>175820</v>
      </c>
    </row>
    <row r="30" spans="2:11" x14ac:dyDescent="0.25">
      <c r="E30">
        <f>SUM(E28:E29)</f>
        <v>686174</v>
      </c>
    </row>
    <row r="33" spans="3:6" x14ac:dyDescent="0.25">
      <c r="C33" s="29" t="s">
        <v>650</v>
      </c>
      <c r="D33" s="104">
        <v>224896</v>
      </c>
      <c r="E33" t="s">
        <v>652</v>
      </c>
    </row>
    <row r="34" spans="3:6" x14ac:dyDescent="0.25">
      <c r="D34" s="106">
        <v>62708</v>
      </c>
      <c r="E34" t="s">
        <v>651</v>
      </c>
    </row>
    <row r="35" spans="3:6" x14ac:dyDescent="0.25">
      <c r="D35" s="104">
        <v>141626</v>
      </c>
      <c r="E35" t="s">
        <v>653</v>
      </c>
    </row>
    <row r="36" spans="3:6" x14ac:dyDescent="0.25">
      <c r="D36" s="141">
        <f>SUM(D33:D35)</f>
        <v>429230</v>
      </c>
      <c r="F36" s="142">
        <f>D36+E30</f>
        <v>1115404</v>
      </c>
    </row>
    <row r="37" spans="3:6" x14ac:dyDescent="0.25">
      <c r="C37" s="29" t="s">
        <v>654</v>
      </c>
    </row>
    <row r="38" spans="3:6" x14ac:dyDescent="0.25">
      <c r="C38" s="29" t="s">
        <v>323</v>
      </c>
      <c r="D38">
        <v>125068</v>
      </c>
      <c r="E38" t="s">
        <v>21</v>
      </c>
      <c r="F38">
        <v>54.17</v>
      </c>
    </row>
    <row r="39" spans="3:6" x14ac:dyDescent="0.25">
      <c r="C39" s="29" t="s">
        <v>655</v>
      </c>
      <c r="D39">
        <v>58080</v>
      </c>
      <c r="F39">
        <f>-11.5-1.83</f>
        <v>-13.33</v>
      </c>
    </row>
    <row r="40" spans="3:6" x14ac:dyDescent="0.25">
      <c r="D40">
        <f>SUM(D38:D39)</f>
        <v>183148</v>
      </c>
      <c r="F40" s="6">
        <f>SUM(F38:F39)</f>
        <v>40.840000000000003</v>
      </c>
    </row>
  </sheetData>
  <mergeCells count="1">
    <mergeCell ref="C21:D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Detail</vt:lpstr>
      <vt:lpstr>Q42017</vt:lpstr>
      <vt:lpstr>Consol March2017</vt:lpstr>
      <vt:lpstr>March2017</vt:lpstr>
      <vt:lpstr>Consol Feb2017 </vt:lpstr>
      <vt:lpstr>Feb 2017</vt:lpstr>
      <vt:lpstr>Consol Jan2017</vt:lpstr>
      <vt:lpstr>Jan 2017</vt:lpstr>
      <vt:lpstr>Consol Q3 OCT-DEC</vt:lpstr>
      <vt:lpstr>Consol DEC2016</vt:lpstr>
      <vt:lpstr>Dec 2016</vt:lpstr>
      <vt:lpstr>Consol NOV2016</vt:lpstr>
      <vt:lpstr>Nov 2016</vt:lpstr>
      <vt:lpstr>Consol OCT 2016 </vt:lpstr>
      <vt:lpstr>Oct 2016</vt:lpstr>
      <vt:lpstr>Q2JUL-SEP2016</vt:lpstr>
      <vt:lpstr>Consol SEP2016</vt:lpstr>
      <vt:lpstr>SEP2016</vt:lpstr>
      <vt:lpstr>Consol AUG2016</vt:lpstr>
      <vt:lpstr>August 2016</vt:lpstr>
      <vt:lpstr>YTD FY2016-17 JUL2016</vt:lpstr>
      <vt:lpstr>Consol JULY2016</vt:lpstr>
      <vt:lpstr>July 2016</vt:lpstr>
      <vt:lpstr>YTD FY2016-17 JUNE</vt:lpstr>
      <vt:lpstr>Consol JUNE2016</vt:lpstr>
      <vt:lpstr>June2016</vt:lpstr>
      <vt:lpstr>YTD FY2016-17</vt:lpstr>
      <vt:lpstr>Consol May2016</vt:lpstr>
      <vt:lpstr>MAY2016</vt:lpstr>
      <vt:lpstr>Consol April2016</vt:lpstr>
      <vt:lpstr>APR2016</vt:lpstr>
      <vt:lpstr>DOY CARE 125gX4 Carton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viraf VMB. boywalla</dc:creator>
  <cp:lastModifiedBy>Viraf  Boywala</cp:lastModifiedBy>
  <cp:lastPrinted>2015-10-12T05:31:55Z</cp:lastPrinted>
  <dcterms:created xsi:type="dcterms:W3CDTF">2015-07-09T13:18:46Z</dcterms:created>
  <dcterms:modified xsi:type="dcterms:W3CDTF">2017-04-11T15:31:14Z</dcterms:modified>
</cp:coreProperties>
</file>