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ndirect cooling tower" sheetId="10" r:id="rId1"/>
    <sheet name="Paharpur CT" sheetId="1" r:id="rId2"/>
    <sheet name="Alpha Laval CT" sheetId="2" r:id="rId3"/>
    <sheet name="Heat Load of Paharpur (PFAD)" sheetId="3" r:id="rId4"/>
    <sheet name="Heat Load of Paharpur (CNO RMO)" sheetId="8" r:id="rId5"/>
    <sheet name="Heat Load of Alphalaval" sheetId="4" r:id="rId6"/>
    <sheet name="Summary" sheetId="5" r:id="rId7"/>
    <sheet name="Saving" sheetId="6" r:id="rId8"/>
    <sheet name="Costing" sheetId="7" r:id="rId9"/>
    <sheet name="Sheet1" sheetId="9" r:id="rId10"/>
  </sheets>
  <calcPr calcId="145621"/>
</workbook>
</file>

<file path=xl/calcChain.xml><?xml version="1.0" encoding="utf-8"?>
<calcChain xmlns="http://schemas.openxmlformats.org/spreadsheetml/2006/main">
  <c r="R18" i="10" l="1"/>
  <c r="R19" i="10" s="1"/>
  <c r="R20" i="10" s="1"/>
  <c r="R17" i="10"/>
  <c r="O15" i="10"/>
  <c r="N15" i="10"/>
  <c r="P15" i="10" s="1"/>
  <c r="J15" i="10"/>
  <c r="AC14" i="10"/>
  <c r="AA14" i="10"/>
  <c r="W14" i="10"/>
  <c r="X14" i="10" s="1"/>
  <c r="V14" i="10"/>
  <c r="R14" i="10"/>
  <c r="O14" i="10"/>
  <c r="N14" i="10"/>
  <c r="J14" i="10"/>
  <c r="AC13" i="10"/>
  <c r="W13" i="10"/>
  <c r="V13" i="10"/>
  <c r="R13" i="10"/>
  <c r="O13" i="10"/>
  <c r="N13" i="10"/>
  <c r="J13" i="10"/>
  <c r="W12" i="10"/>
  <c r="X12" i="10" s="1"/>
  <c r="V12" i="10"/>
  <c r="O12" i="10"/>
  <c r="N12" i="10"/>
  <c r="J12" i="10"/>
  <c r="O11" i="10"/>
  <c r="N11" i="10"/>
  <c r="J11" i="10"/>
  <c r="W10" i="10"/>
  <c r="V10" i="10"/>
  <c r="O10" i="10"/>
  <c r="N10" i="10"/>
  <c r="P10" i="10" s="1"/>
  <c r="J10" i="10"/>
  <c r="W9" i="10"/>
  <c r="V9" i="10"/>
  <c r="X9" i="10" s="1"/>
  <c r="R9" i="10"/>
  <c r="O9" i="10"/>
  <c r="N9" i="10"/>
  <c r="P9" i="10" s="1"/>
  <c r="J9" i="10"/>
  <c r="O8" i="10"/>
  <c r="N8" i="10"/>
  <c r="J8" i="10"/>
  <c r="AC7" i="10"/>
  <c r="W7" i="10"/>
  <c r="V7" i="10"/>
  <c r="R7" i="10"/>
  <c r="O7" i="10"/>
  <c r="N7" i="10"/>
  <c r="J7" i="10"/>
  <c r="X13" i="10" l="1"/>
  <c r="X7" i="10"/>
  <c r="P13" i="10"/>
  <c r="P7" i="10"/>
  <c r="P11" i="10"/>
  <c r="P14" i="10"/>
  <c r="P8" i="10"/>
  <c r="P12" i="10"/>
  <c r="D17" i="6"/>
  <c r="D31" i="4" l="1"/>
  <c r="D18" i="4"/>
  <c r="D30" i="8"/>
  <c r="D30" i="3"/>
  <c r="K16" i="8"/>
  <c r="D31" i="8"/>
  <c r="D45" i="8"/>
  <c r="D58" i="8"/>
  <c r="D74" i="8"/>
  <c r="D74" i="3"/>
  <c r="D58" i="3"/>
  <c r="D45" i="3"/>
  <c r="D31" i="3"/>
  <c r="D78" i="3" s="1"/>
  <c r="K16" i="3"/>
  <c r="E20" i="5"/>
  <c r="E14" i="5"/>
  <c r="E13" i="5"/>
  <c r="E12" i="5"/>
  <c r="E10" i="5"/>
  <c r="D69" i="8"/>
  <c r="D70" i="8" s="1"/>
  <c r="D71" i="8" s="1"/>
  <c r="D72" i="8" s="1"/>
  <c r="D73" i="8" s="1"/>
  <c r="I50" i="8"/>
  <c r="K50" i="8" s="1"/>
  <c r="I51" i="8" s="1"/>
  <c r="I53" i="8" s="1"/>
  <c r="I54" i="8" s="1"/>
  <c r="D51" i="8" s="1"/>
  <c r="D55" i="8" s="1"/>
  <c r="D56" i="8" s="1"/>
  <c r="D57" i="8" s="1"/>
  <c r="I37" i="8"/>
  <c r="K37" i="8" s="1"/>
  <c r="I38" i="8" s="1"/>
  <c r="I40" i="8" s="1"/>
  <c r="I41" i="8" s="1"/>
  <c r="D38" i="8" s="1"/>
  <c r="D42" i="8" s="1"/>
  <c r="D43" i="8" s="1"/>
  <c r="D44" i="8" s="1"/>
  <c r="I23" i="8"/>
  <c r="K23" i="8" s="1"/>
  <c r="I24" i="8" s="1"/>
  <c r="I26" i="8" s="1"/>
  <c r="I27" i="8" s="1"/>
  <c r="D24" i="8" s="1"/>
  <c r="D28" i="8" s="1"/>
  <c r="D29" i="8" s="1"/>
  <c r="G18" i="8"/>
  <c r="C18" i="8"/>
  <c r="G16" i="8"/>
  <c r="C16" i="8"/>
  <c r="K10" i="8"/>
  <c r="G10" i="8"/>
  <c r="C10" i="8"/>
  <c r="K15" i="8" s="1"/>
  <c r="K8" i="8"/>
  <c r="G8" i="8"/>
  <c r="C8" i="8"/>
  <c r="D26" i="4"/>
  <c r="D27" i="4" s="1"/>
  <c r="D28" i="4" s="1"/>
  <c r="D29" i="4" s="1"/>
  <c r="D30" i="4" s="1"/>
  <c r="D25" i="7"/>
  <c r="J12" i="7"/>
  <c r="G12" i="7"/>
  <c r="J11" i="7"/>
  <c r="G11" i="7"/>
  <c r="J10" i="7"/>
  <c r="G10" i="7"/>
  <c r="G9" i="7"/>
  <c r="E15" i="5" l="1"/>
  <c r="E22" i="5" s="1"/>
  <c r="J9" i="7" l="1"/>
  <c r="J8" i="7"/>
  <c r="G8" i="7"/>
  <c r="J7" i="7"/>
  <c r="J6" i="7"/>
  <c r="J13" i="7" s="1"/>
  <c r="G7" i="7"/>
  <c r="G6" i="7"/>
  <c r="J14" i="7" l="1"/>
  <c r="J15" i="7" s="1"/>
  <c r="G26" i="7" l="1"/>
  <c r="G25" i="7"/>
  <c r="G24" i="7"/>
  <c r="G23" i="7"/>
  <c r="G22" i="7"/>
  <c r="G21" i="7"/>
  <c r="G27" i="7" l="1"/>
  <c r="G28" i="7" s="1"/>
  <c r="G29" i="7" s="1"/>
  <c r="G31" i="7" s="1"/>
  <c r="E23" i="6" s="1"/>
  <c r="D18" i="6" l="1"/>
  <c r="D16" i="6"/>
  <c r="D19" i="6" l="1"/>
  <c r="D20" i="6" s="1"/>
  <c r="D9" i="6"/>
  <c r="D12" i="6" s="1"/>
  <c r="D13" i="6" s="1"/>
  <c r="D6" i="6"/>
  <c r="D8" i="6"/>
  <c r="E22" i="6" l="1"/>
  <c r="E24" i="6" s="1"/>
  <c r="D16" i="4"/>
  <c r="I50" i="3"/>
  <c r="K50" i="3" s="1"/>
  <c r="I51" i="3" s="1"/>
  <c r="I53" i="3" s="1"/>
  <c r="I54" i="3" s="1"/>
  <c r="D51" i="3" s="1"/>
  <c r="D55" i="3" s="1"/>
  <c r="D56" i="3" s="1"/>
  <c r="D57" i="3" s="1"/>
  <c r="C13" i="5" s="1"/>
  <c r="D13" i="5" s="1"/>
  <c r="D13" i="4"/>
  <c r="D14" i="4" s="1"/>
  <c r="D15" i="4" s="1"/>
  <c r="I23" i="3"/>
  <c r="K23" i="3" s="1"/>
  <c r="I24" i="3" s="1"/>
  <c r="I26" i="3" s="1"/>
  <c r="I27" i="3" s="1"/>
  <c r="D24" i="3" s="1"/>
  <c r="D28" i="3" s="1"/>
  <c r="D29" i="3" s="1"/>
  <c r="C11" i="5" s="1"/>
  <c r="D69" i="3"/>
  <c r="D70" i="3" s="1"/>
  <c r="D71" i="3" s="1"/>
  <c r="D72" i="3" s="1"/>
  <c r="D73" i="3" s="1"/>
  <c r="C14" i="5" s="1"/>
  <c r="D14" i="5" s="1"/>
  <c r="I37" i="3"/>
  <c r="K37" i="3" s="1"/>
  <c r="I38" i="3" s="1"/>
  <c r="I40" i="3" s="1"/>
  <c r="I41" i="3" s="1"/>
  <c r="D38" i="3" s="1"/>
  <c r="D42" i="3" s="1"/>
  <c r="D43" i="3" s="1"/>
  <c r="D44" i="3" s="1"/>
  <c r="C12" i="5" s="1"/>
  <c r="D12" i="5" s="1"/>
  <c r="D17" i="4" l="1"/>
  <c r="G18" i="3"/>
  <c r="G16" i="3"/>
  <c r="G10" i="3"/>
  <c r="G8" i="3"/>
  <c r="K8" i="3"/>
  <c r="C8" i="3"/>
  <c r="C16" i="3"/>
  <c r="K10" i="3"/>
  <c r="C18" i="3"/>
  <c r="C10" i="3"/>
  <c r="C20" i="5" l="1"/>
  <c r="D20" i="5" s="1"/>
  <c r="K15" i="3"/>
  <c r="C10" i="5" l="1"/>
  <c r="D10" i="5" l="1"/>
  <c r="D15" i="5" s="1"/>
  <c r="D22" i="5" s="1"/>
  <c r="C15" i="5"/>
</calcChain>
</file>

<file path=xl/comments1.xml><?xml version="1.0" encoding="utf-8"?>
<comments xmlns="http://schemas.openxmlformats.org/spreadsheetml/2006/main">
  <authors>
    <author>Author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P-903 C is running others are off</t>
        </r>
      </text>
    </comment>
    <comment ref="S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reading taken on 25 jan 2017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P-362C is running others are off</t>
        </r>
      </text>
    </comment>
    <comment ref="S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reading taken on 25 jan 2017</t>
        </r>
      </text>
    </comment>
    <comment ref="S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reading taken on 18 jan 2017</t>
        </r>
      </text>
    </comment>
    <comment ref="S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reading taken on 12 jan 2017</t>
        </r>
      </text>
    </comment>
  </commentList>
</comments>
</file>

<file path=xl/sharedStrings.xml><?xml version="1.0" encoding="utf-8"?>
<sst xmlns="http://schemas.openxmlformats.org/spreadsheetml/2006/main" count="646" uniqueCount="208">
  <si>
    <t>Paharpur Cooling Tower</t>
  </si>
  <si>
    <t>P-20 P03
Q= 435 M3/Hr
H=60 M
P=110 KW</t>
  </si>
  <si>
    <t>P-9002 A/B
Q= 500 M3/Hr
H=45 M
P=80 KW</t>
  </si>
  <si>
    <t>Syndate Plant 
Vapour Condenser</t>
  </si>
  <si>
    <t>GDP</t>
  </si>
  <si>
    <t>Precon Condenser</t>
  </si>
  <si>
    <t>OLD SPD PHE</t>
  </si>
  <si>
    <t xml:space="preserve">Bleacher </t>
  </si>
  <si>
    <t>Old Postcon
(Run only when JST &amp; LST is running)</t>
  </si>
  <si>
    <t>PHE</t>
  </si>
  <si>
    <t>P-364 A/B
Q= 300 M3/Hr
H=50 M
P=75 KW</t>
  </si>
  <si>
    <t>E-104</t>
  </si>
  <si>
    <t>E-105</t>
  </si>
  <si>
    <t>E-106</t>
  </si>
  <si>
    <t>E-115</t>
  </si>
  <si>
    <t>CW Tin</t>
  </si>
  <si>
    <t>°C</t>
  </si>
  <si>
    <t>CW T out</t>
  </si>
  <si>
    <t>Heat Load</t>
  </si>
  <si>
    <t>Kcal/hr</t>
  </si>
  <si>
    <t>Q</t>
  </si>
  <si>
    <t>TR</t>
  </si>
  <si>
    <t>ATFD Condenser</t>
  </si>
  <si>
    <t>Glycerine vapor Condensor</t>
  </si>
  <si>
    <t>Cooler</t>
  </si>
  <si>
    <t>M3/hr</t>
  </si>
  <si>
    <t>E-114</t>
  </si>
  <si>
    <t xml:space="preserve">GDP </t>
  </si>
  <si>
    <t>OLD SPD</t>
  </si>
  <si>
    <t>Syndet Plant Vapour Condenser</t>
  </si>
  <si>
    <t>kcal/hr</t>
  </si>
  <si>
    <t>Total GDP Load</t>
  </si>
  <si>
    <t xml:space="preserve">CW 2" line is given </t>
  </si>
  <si>
    <t>Max flow through 2" line</t>
  </si>
  <si>
    <t>2"</t>
  </si>
  <si>
    <t>D</t>
  </si>
  <si>
    <t>mm</t>
  </si>
  <si>
    <t>A</t>
  </si>
  <si>
    <t>m</t>
  </si>
  <si>
    <t>m2</t>
  </si>
  <si>
    <t>u</t>
  </si>
  <si>
    <t>m/sec</t>
  </si>
  <si>
    <t>q</t>
  </si>
  <si>
    <t>m3/sec</t>
  </si>
  <si>
    <t>m3/hr</t>
  </si>
  <si>
    <t>max is considered</t>
  </si>
  <si>
    <t>delta T assumed</t>
  </si>
  <si>
    <t xml:space="preserve"> Bleacher Vapour Condenser</t>
  </si>
  <si>
    <t>Precon Vapour Condenser</t>
  </si>
  <si>
    <t>Note:</t>
  </si>
  <si>
    <t>Feed rate of Precon when only LST is running &amp; JST is shutdown</t>
  </si>
  <si>
    <t>%</t>
  </si>
  <si>
    <t>LST FEED</t>
  </si>
  <si>
    <t>TPH</t>
  </si>
  <si>
    <t>Precon feed rate</t>
  </si>
  <si>
    <t>Final Conc</t>
  </si>
  <si>
    <t>Initial Conc</t>
  </si>
  <si>
    <t>precon outlet rate</t>
  </si>
  <si>
    <t>Total water removed</t>
  </si>
  <si>
    <t>Water removed from each effect</t>
  </si>
  <si>
    <t>Heat Load on last effect</t>
  </si>
  <si>
    <t xml:space="preserve">CW 4" line is given </t>
  </si>
  <si>
    <t>Considering 80% Utilization</t>
  </si>
  <si>
    <t>Postcon Vapour Condenser</t>
  </si>
  <si>
    <t>Total vapour load</t>
  </si>
  <si>
    <t>Considering 70% Utilization</t>
  </si>
  <si>
    <t>Feed rate of Postcon when only LST is running &amp; JST is shutdown</t>
  </si>
  <si>
    <t>Summary</t>
  </si>
  <si>
    <t>Consumer</t>
  </si>
  <si>
    <t>MCT BLEACHER</t>
  </si>
  <si>
    <t>Syndate</t>
  </si>
  <si>
    <t>Precon</t>
  </si>
  <si>
    <t>Pharpur CT capacity</t>
  </si>
  <si>
    <t>Pastcon Load</t>
  </si>
  <si>
    <t>Total</t>
  </si>
  <si>
    <t>PAHARPUR COOLING TOWER</t>
  </si>
  <si>
    <t>Alphalaval Cooling Tower</t>
  </si>
  <si>
    <t>If GDP  &amp; LST on 80% load</t>
  </si>
  <si>
    <t>Note : If Old SPD is not running &amp; GDP &amp; LST are at 80% loading (Considering PFAD Run)  then Paharpur cooling tower can cater the Alpha laval Cooling tower load</t>
  </si>
  <si>
    <t>Total Load</t>
  </si>
  <si>
    <t>Alphalaval Cooling Tower FAN Power</t>
  </si>
  <si>
    <t>KWH</t>
  </si>
  <si>
    <t>Alpha laval CT circulation pump</t>
  </si>
  <si>
    <t>loading 70%</t>
  </si>
  <si>
    <t>loading 90%</t>
  </si>
  <si>
    <t>Saving in Power consumption</t>
  </si>
  <si>
    <t>Total power saving</t>
  </si>
  <si>
    <t>Kwh</t>
  </si>
  <si>
    <t>Working days</t>
  </si>
  <si>
    <t>Days</t>
  </si>
  <si>
    <t>Power Cost</t>
  </si>
  <si>
    <t>Rs/kwh</t>
  </si>
  <si>
    <t>Rs</t>
  </si>
  <si>
    <t>Saving</t>
  </si>
  <si>
    <t>Lacs</t>
  </si>
  <si>
    <t>CT water circulation rate</t>
  </si>
  <si>
    <t>Postcon feed rate</t>
  </si>
  <si>
    <t>M3</t>
  </si>
  <si>
    <t>Drift losses avoided</t>
  </si>
  <si>
    <t>Raw water saving</t>
  </si>
  <si>
    <t xml:space="preserve">Vapour Condenser
</t>
  </si>
  <si>
    <t>Material Cost</t>
  </si>
  <si>
    <t>Sr.no.</t>
  </si>
  <si>
    <t>Quantity</t>
  </si>
  <si>
    <t>Unit</t>
  </si>
  <si>
    <t>Rate</t>
  </si>
  <si>
    <t>Nos</t>
  </si>
  <si>
    <t>Lot</t>
  </si>
  <si>
    <t>Taxes ( 14.5 %)</t>
  </si>
  <si>
    <t>Total (Including taxes)</t>
  </si>
  <si>
    <t>Service cost</t>
  </si>
  <si>
    <t>IND</t>
  </si>
  <si>
    <t>DP test</t>
  </si>
  <si>
    <t>Taxes ( 25 %)</t>
  </si>
  <si>
    <t>Total cost</t>
  </si>
  <si>
    <t>M</t>
  </si>
  <si>
    <t>Description</t>
  </si>
  <si>
    <t>FLANGE, CS, 150#, 10"</t>
  </si>
  <si>
    <t>Available quantity</t>
  </si>
  <si>
    <t>Tee,CS,10x10  ,Sch 40</t>
  </si>
  <si>
    <t>Gasket ,CAF,150#</t>
  </si>
  <si>
    <t>Elbow CS, Sch 40,ERW,90 D</t>
  </si>
  <si>
    <t>CS pipe line fabrication weld joint</t>
  </si>
  <si>
    <t>Nut bolts &amp; other</t>
  </si>
  <si>
    <t>CS Pipe erection and fabrication</t>
  </si>
  <si>
    <t>INM</t>
  </si>
  <si>
    <t>Hydra Or Material handling</t>
  </si>
  <si>
    <t>SHF</t>
  </si>
  <si>
    <t>Valve Fixing</t>
  </si>
  <si>
    <t>Scaffolding</t>
  </si>
  <si>
    <t>LOT</t>
  </si>
  <si>
    <t>Amount (Rs)</t>
  </si>
  <si>
    <t>Amount
(Rs.)</t>
  </si>
  <si>
    <t>Amount based on material availability
(Rs.)</t>
  </si>
  <si>
    <t>Considering PFAD Run</t>
  </si>
  <si>
    <t>Considering RMO/CNO  Run</t>
  </si>
  <si>
    <t>PFAD RUN</t>
  </si>
  <si>
    <t>Saving in raw water consumption</t>
  </si>
  <si>
    <t>Total Saving</t>
  </si>
  <si>
    <t>Total Investment</t>
  </si>
  <si>
    <t>ROI</t>
  </si>
  <si>
    <t>CW flow</t>
  </si>
  <si>
    <t>TOTAL CW FLOW</t>
  </si>
  <si>
    <t>4"</t>
  </si>
  <si>
    <t>Considering 90% Utilization</t>
  </si>
  <si>
    <t>CNO /RMO RUN</t>
  </si>
  <si>
    <t>Note : If Old SPD is not running &amp; GDP (Considering CNO/RMO Run)  then Paharpur cooling tower can cater the Alpha laval Cooling tower load</t>
  </si>
  <si>
    <t>Alpha Laval Cooling Tower</t>
  </si>
  <si>
    <t>ACTUAL</t>
  </si>
  <si>
    <t>ALPHALAVAL COOLING TOWER</t>
  </si>
  <si>
    <t>Months</t>
  </si>
  <si>
    <t>Valve, Butterfly, 10", CS, 150#, FE</t>
  </si>
  <si>
    <t>PIPE CS-ASTMA106GRB 10" ERW SCH40</t>
  </si>
  <si>
    <t>Design Data</t>
  </si>
  <si>
    <t>Performance Data</t>
  </si>
  <si>
    <t>Fan &amp; Air Flow Data</t>
  </si>
  <si>
    <t>Sr. No</t>
  </si>
  <si>
    <t xml:space="preserve">Cooling Tower for </t>
  </si>
  <si>
    <t>Location</t>
  </si>
  <si>
    <t>Tag No</t>
  </si>
  <si>
    <t>Make</t>
  </si>
  <si>
    <t>Modle</t>
  </si>
  <si>
    <t>Type</t>
  </si>
  <si>
    <t>Capacity</t>
  </si>
  <si>
    <t>CW Temperature</t>
  </si>
  <si>
    <t>WBT</t>
  </si>
  <si>
    <t>Range</t>
  </si>
  <si>
    <t>Approach</t>
  </si>
  <si>
    <t>Efficiency</t>
  </si>
  <si>
    <t>Fan Type</t>
  </si>
  <si>
    <t>Fan speed</t>
  </si>
  <si>
    <t>Fan Power</t>
  </si>
  <si>
    <t>Air Flow Rate</t>
  </si>
  <si>
    <t>L/G Ratio</t>
  </si>
  <si>
    <t>Circulation</t>
  </si>
  <si>
    <t>Thermal</t>
  </si>
  <si>
    <t>Inlet</t>
  </si>
  <si>
    <t>Outlet</t>
  </si>
  <si>
    <t>oC</t>
  </si>
  <si>
    <t>rpm</t>
  </si>
  <si>
    <t>kW</t>
  </si>
  <si>
    <t>DFA indirect cooling tower - 1</t>
  </si>
  <si>
    <t>7th Floor</t>
  </si>
  <si>
    <t>Paharpur</t>
  </si>
  <si>
    <t>Natural Draft</t>
  </si>
  <si>
    <t>FRP</t>
  </si>
  <si>
    <t>NA</t>
  </si>
  <si>
    <t>DFA indirect cooling tower - 2</t>
  </si>
  <si>
    <t>off</t>
  </si>
  <si>
    <t>Juatasama cooling tower - 1</t>
  </si>
  <si>
    <t>10th Floor</t>
  </si>
  <si>
    <t>CT 9501A</t>
  </si>
  <si>
    <t>ARMEC</t>
  </si>
  <si>
    <t>Forced draft</t>
  </si>
  <si>
    <t>FAN DIA not confirmed</t>
  </si>
  <si>
    <t>Juatasama cooling tower - 2</t>
  </si>
  <si>
    <t>CT-9501B</t>
  </si>
  <si>
    <t>OFF</t>
  </si>
  <si>
    <t xml:space="preserve">Postcon cooling tower - 1 </t>
  </si>
  <si>
    <t>Tarrace</t>
  </si>
  <si>
    <t>Off</t>
  </si>
  <si>
    <t xml:space="preserve">Scaffolding required </t>
  </si>
  <si>
    <t xml:space="preserve">Paharpur cooling tower-Precon, GDP, Old SPD - 1 </t>
  </si>
  <si>
    <t xml:space="preserve">Paharpur cooling tower near DM plant-FAP - 1 </t>
  </si>
  <si>
    <t>A. 23.21
B. 25.21</t>
  </si>
  <si>
    <t>CPP cooling tower - 1</t>
  </si>
  <si>
    <t>Himgiri</t>
  </si>
  <si>
    <t>CPP cooling tower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</si>
</sst>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1" fillId="2" borderId="0" xfId="0" applyFont="1" applyFill="1"/>
    <xf numFmtId="0" fontId="1" fillId="4" borderId="0" xfId="0" applyFont="1" applyFill="1"/>
    <xf numFmtId="0" fontId="1" fillId="3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0" borderId="0" xfId="0" applyFont="1" applyFill="1" applyBorder="1" applyAlignment="1"/>
    <xf numFmtId="0" fontId="0" fillId="0" borderId="0" xfId="0" applyBorder="1"/>
    <xf numFmtId="0" fontId="1" fillId="4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/>
    <xf numFmtId="2" fontId="0" fillId="0" borderId="1" xfId="0" applyNumberFormat="1" applyBorder="1"/>
    <xf numFmtId="2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/>
    <xf numFmtId="0" fontId="1" fillId="6" borderId="0" xfId="0" applyFont="1" applyFill="1" applyBorder="1"/>
    <xf numFmtId="0" fontId="0" fillId="6" borderId="0" xfId="0" applyFill="1"/>
    <xf numFmtId="0" fontId="0" fillId="6" borderId="0" xfId="0" applyFill="1" applyBorder="1"/>
    <xf numFmtId="2" fontId="1" fillId="4" borderId="0" xfId="0" applyNumberFormat="1" applyFont="1" applyFill="1" applyBorder="1" applyAlignment="1"/>
    <xf numFmtId="2" fontId="1" fillId="2" borderId="0" xfId="0" applyNumberFormat="1" applyFont="1" applyFill="1" applyBorder="1" applyAlignment="1"/>
    <xf numFmtId="0" fontId="0" fillId="0" borderId="0" xfId="0" applyFill="1" applyBorder="1" applyAlignment="1"/>
    <xf numFmtId="2" fontId="0" fillId="0" borderId="0" xfId="0" applyNumberFormat="1"/>
    <xf numFmtId="1" fontId="1" fillId="2" borderId="0" xfId="0" applyNumberFormat="1" applyFont="1" applyFill="1" applyBorder="1" applyAlignment="1"/>
    <xf numFmtId="0" fontId="1" fillId="0" borderId="0" xfId="0" applyFont="1" applyFill="1"/>
    <xf numFmtId="0" fontId="2" fillId="0" borderId="0" xfId="0" applyFont="1" applyBorder="1" applyAlignment="1">
      <alignment vertical="top" wrapText="1"/>
    </xf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1" xfId="0" applyNumberFormat="1" applyBorder="1" applyAlignment="1">
      <alignment horizontal="center"/>
    </xf>
    <xf numFmtId="0" fontId="0" fillId="0" borderId="31" xfId="0" applyBorder="1"/>
    <xf numFmtId="0" fontId="1" fillId="0" borderId="5" xfId="0" applyFont="1" applyBorder="1"/>
    <xf numFmtId="165" fontId="0" fillId="0" borderId="0" xfId="0" applyNumberFormat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33" xfId="0" applyBorder="1"/>
    <xf numFmtId="0" fontId="4" fillId="0" borderId="1" xfId="0" applyFont="1" applyFill="1" applyBorder="1" applyAlignment="1">
      <alignment horizontal="left"/>
    </xf>
    <xf numFmtId="0" fontId="0" fillId="0" borderId="33" xfId="0" applyFill="1" applyBorder="1" applyAlignment="1">
      <alignment horizontal="center"/>
    </xf>
    <xf numFmtId="1" fontId="1" fillId="2" borderId="1" xfId="0" applyNumberFormat="1" applyFont="1" applyFill="1" applyBorder="1"/>
    <xf numFmtId="0" fontId="1" fillId="0" borderId="0" xfId="0" applyFont="1" applyBorder="1" applyAlignment="1">
      <alignment horizontal="center"/>
    </xf>
    <xf numFmtId="1" fontId="0" fillId="0" borderId="0" xfId="0" applyNumberFormat="1" applyBorder="1"/>
    <xf numFmtId="1" fontId="1" fillId="0" borderId="0" xfId="0" applyNumberFormat="1" applyFont="1" applyBorder="1"/>
    <xf numFmtId="0" fontId="1" fillId="0" borderId="3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/>
    <xf numFmtId="2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33" xfId="0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32" xfId="0" applyBorder="1"/>
    <xf numFmtId="0" fontId="0" fillId="0" borderId="36" xfId="0" applyBorder="1"/>
    <xf numFmtId="0" fontId="0" fillId="0" borderId="35" xfId="0" applyBorder="1"/>
    <xf numFmtId="0" fontId="0" fillId="0" borderId="37" xfId="0" applyBorder="1"/>
    <xf numFmtId="0" fontId="0" fillId="0" borderId="4" xfId="0" applyBorder="1"/>
    <xf numFmtId="2" fontId="1" fillId="0" borderId="4" xfId="0" applyNumberFormat="1" applyFont="1" applyBorder="1" applyAlignment="1">
      <alignment horizontal="center"/>
    </xf>
    <xf numFmtId="2" fontId="1" fillId="0" borderId="32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31" xfId="0" applyFont="1" applyBorder="1"/>
    <xf numFmtId="165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6" fillId="0" borderId="0" xfId="0" applyFont="1"/>
    <xf numFmtId="0" fontId="6" fillId="0" borderId="1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3" borderId="28" xfId="0" applyFont="1" applyFill="1" applyBorder="1" applyAlignment="1">
      <alignment horizontal="center"/>
    </xf>
    <xf numFmtId="0" fontId="7" fillId="14" borderId="30" xfId="0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1" xfId="0" applyFont="1" applyBorder="1"/>
    <xf numFmtId="0" fontId="6" fillId="0" borderId="31" xfId="0" applyFont="1" applyBorder="1"/>
    <xf numFmtId="2" fontId="6" fillId="0" borderId="1" xfId="0" applyNumberFormat="1" applyFont="1" applyBorder="1" applyAlignment="1">
      <alignment horizontal="center"/>
    </xf>
    <xf numFmtId="2" fontId="6" fillId="9" borderId="22" xfId="0" applyNumberFormat="1" applyFont="1" applyFill="1" applyBorder="1" applyAlignment="1">
      <alignment horizontal="center"/>
    </xf>
    <xf numFmtId="2" fontId="6" fillId="0" borderId="1" xfId="0" applyNumberFormat="1" applyFont="1" applyBorder="1"/>
    <xf numFmtId="164" fontId="6" fillId="0" borderId="1" xfId="0" applyNumberFormat="1" applyFont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2" fontId="6" fillId="15" borderId="1" xfId="0" applyNumberFormat="1" applyFont="1" applyFill="1" applyBorder="1"/>
    <xf numFmtId="2" fontId="6" fillId="0" borderId="22" xfId="0" applyNumberFormat="1" applyFont="1" applyBorder="1" applyAlignment="1">
      <alignment horizontal="center"/>
    </xf>
    <xf numFmtId="0" fontId="6" fillId="0" borderId="39" xfId="0" applyFont="1" applyBorder="1"/>
    <xf numFmtId="2" fontId="6" fillId="0" borderId="33" xfId="0" applyNumberFormat="1" applyFont="1" applyBorder="1" applyAlignment="1">
      <alignment horizontal="center"/>
    </xf>
    <xf numFmtId="2" fontId="6" fillId="9" borderId="16" xfId="0" applyNumberFormat="1" applyFont="1" applyFill="1" applyBorder="1" applyAlignment="1">
      <alignment horizontal="center"/>
    </xf>
    <xf numFmtId="2" fontId="6" fillId="0" borderId="33" xfId="0" applyNumberFormat="1" applyFont="1" applyBorder="1"/>
    <xf numFmtId="0" fontId="7" fillId="0" borderId="24" xfId="0" applyFont="1" applyBorder="1"/>
    <xf numFmtId="2" fontId="7" fillId="0" borderId="25" xfId="0" applyNumberFormat="1" applyFont="1" applyBorder="1" applyAlignment="1">
      <alignment horizontal="center"/>
    </xf>
    <xf numFmtId="2" fontId="7" fillId="0" borderId="38" xfId="0" applyNumberFormat="1" applyFont="1" applyBorder="1" applyAlignment="1">
      <alignment horizontal="center"/>
    </xf>
    <xf numFmtId="2" fontId="7" fillId="0" borderId="26" xfId="0" applyNumberFormat="1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/>
    <xf numFmtId="2" fontId="7" fillId="0" borderId="0" xfId="0" applyNumberFormat="1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13" borderId="38" xfId="0" applyFont="1" applyFill="1" applyBorder="1" applyAlignment="1">
      <alignment horizontal="center"/>
    </xf>
    <xf numFmtId="0" fontId="7" fillId="0" borderId="30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2" fontId="7" fillId="9" borderId="26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4" borderId="24" xfId="0" applyFont="1" applyFill="1" applyBorder="1"/>
    <xf numFmtId="2" fontId="7" fillId="4" borderId="25" xfId="0" applyNumberFormat="1" applyFont="1" applyFill="1" applyBorder="1" applyAlignment="1">
      <alignment horizontal="center"/>
    </xf>
    <xf numFmtId="2" fontId="7" fillId="4" borderId="26" xfId="0" applyNumberFormat="1" applyFont="1" applyFill="1" applyBorder="1" applyAlignment="1">
      <alignment horizontal="center"/>
    </xf>
    <xf numFmtId="2" fontId="7" fillId="4" borderId="30" xfId="0" applyNumberFormat="1" applyFont="1" applyFill="1" applyBorder="1" applyAlignment="1">
      <alignment horizontal="center"/>
    </xf>
    <xf numFmtId="0" fontId="7" fillId="11" borderId="24" xfId="0" applyFont="1" applyFill="1" applyBorder="1"/>
    <xf numFmtId="0" fontId="7" fillId="11" borderId="25" xfId="0" applyFont="1" applyFill="1" applyBorder="1" applyAlignment="1">
      <alignment horizontal="center"/>
    </xf>
    <xf numFmtId="2" fontId="7" fillId="11" borderId="26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2" fontId="0" fillId="0" borderId="32" xfId="0" applyNumberForma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35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0" xfId="0" applyBorder="1"/>
    <xf numFmtId="2" fontId="1" fillId="0" borderId="41" xfId="0" applyNumberFormat="1" applyFont="1" applyBorder="1" applyAlignment="1">
      <alignment horizontal="center"/>
    </xf>
    <xf numFmtId="2" fontId="1" fillId="0" borderId="42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8" fillId="0" borderId="43" xfId="0" applyFont="1" applyFill="1" applyBorder="1" applyAlignment="1"/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44" xfId="0" applyFont="1" applyFill="1" applyBorder="1" applyAlignment="1"/>
    <xf numFmtId="0" fontId="0" fillId="0" borderId="23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" fontId="0" fillId="17" borderId="1" xfId="0" applyNumberFormat="1" applyFill="1" applyBorder="1" applyAlignment="1">
      <alignment horizontal="center" vertical="center"/>
    </xf>
    <xf numFmtId="0" fontId="0" fillId="0" borderId="44" xfId="0" applyBorder="1"/>
    <xf numFmtId="0" fontId="0" fillId="4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164" fontId="0" fillId="0" borderId="33" xfId="0" applyNumberFormat="1" applyFill="1" applyBorder="1" applyAlignment="1">
      <alignment horizontal="center" vertical="center"/>
    </xf>
    <xf numFmtId="164" fontId="0" fillId="0" borderId="35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65" fontId="0" fillId="0" borderId="33" xfId="0" applyNumberFormat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" fontId="0" fillId="0" borderId="33" xfId="0" applyNumberFormat="1" applyFill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7" fillId="16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7" fillId="8" borderId="27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7" fillId="8" borderId="28" xfId="0" applyFont="1" applyFill="1" applyBorder="1" applyAlignment="1">
      <alignment horizontal="center"/>
    </xf>
    <xf numFmtId="0" fontId="7" fillId="8" borderId="29" xfId="0" applyFont="1" applyFill="1" applyBorder="1" applyAlignment="1">
      <alignment horizontal="center"/>
    </xf>
    <xf numFmtId="0" fontId="1" fillId="12" borderId="27" xfId="0" applyFont="1" applyFill="1" applyBorder="1" applyAlignment="1">
      <alignment horizontal="center"/>
    </xf>
    <xf numFmtId="0" fontId="1" fillId="12" borderId="28" xfId="0" applyFont="1" applyFill="1" applyBorder="1" applyAlignment="1">
      <alignment horizontal="center"/>
    </xf>
    <xf numFmtId="0" fontId="1" fillId="12" borderId="29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2" xfId="0" applyBorder="1" applyAlignment="1">
      <alignment horizontal="right" vertical="center"/>
    </xf>
    <xf numFmtId="0" fontId="0" fillId="0" borderId="34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2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0" xfId="0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9525</xdr:rowOff>
    </xdr:from>
    <xdr:to>
      <xdr:col>3</xdr:col>
      <xdr:colOff>0</xdr:colOff>
      <xdr:row>12</xdr:row>
      <xdr:rowOff>0</xdr:rowOff>
    </xdr:to>
    <xdr:cxnSp macro="">
      <xdr:nvCxnSpPr>
        <xdr:cNvPr id="5" name="Straight Arrow Connector 4"/>
        <xdr:cNvCxnSpPr/>
      </xdr:nvCxnSpPr>
      <xdr:spPr>
        <a:xfrm>
          <a:off x="1828800" y="981075"/>
          <a:ext cx="0" cy="13239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14</xdr:row>
      <xdr:rowOff>85725</xdr:rowOff>
    </xdr:from>
    <xdr:to>
      <xdr:col>7</xdr:col>
      <xdr:colOff>38100</xdr:colOff>
      <xdr:row>14</xdr:row>
      <xdr:rowOff>85725</xdr:rowOff>
    </xdr:to>
    <xdr:cxnSp macro="">
      <xdr:nvCxnSpPr>
        <xdr:cNvPr id="7" name="Straight Arrow Connector 6"/>
        <xdr:cNvCxnSpPr/>
      </xdr:nvCxnSpPr>
      <xdr:spPr>
        <a:xfrm>
          <a:off x="3057525" y="2781300"/>
          <a:ext cx="12477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</xdr:row>
      <xdr:rowOff>9525</xdr:rowOff>
    </xdr:from>
    <xdr:to>
      <xdr:col>7</xdr:col>
      <xdr:colOff>28575</xdr:colOff>
      <xdr:row>37</xdr:row>
      <xdr:rowOff>11906</xdr:rowOff>
    </xdr:to>
    <xdr:cxnSp macro="">
      <xdr:nvCxnSpPr>
        <xdr:cNvPr id="9" name="Straight Connector 8"/>
        <xdr:cNvCxnSpPr/>
      </xdr:nvCxnSpPr>
      <xdr:spPr>
        <a:xfrm>
          <a:off x="4279106" y="200025"/>
          <a:ext cx="0" cy="69080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</xdr:row>
      <xdr:rowOff>190500</xdr:rowOff>
    </xdr:from>
    <xdr:to>
      <xdr:col>9</xdr:col>
      <xdr:colOff>38100</xdr:colOff>
      <xdr:row>2</xdr:row>
      <xdr:rowOff>190500</xdr:rowOff>
    </xdr:to>
    <xdr:cxnSp macro="">
      <xdr:nvCxnSpPr>
        <xdr:cNvPr id="11" name="Straight Arrow Connector 10"/>
        <xdr:cNvCxnSpPr/>
      </xdr:nvCxnSpPr>
      <xdr:spPr>
        <a:xfrm>
          <a:off x="4276725" y="571500"/>
          <a:ext cx="12477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</xdr:row>
      <xdr:rowOff>19050</xdr:rowOff>
    </xdr:from>
    <xdr:to>
      <xdr:col>9</xdr:col>
      <xdr:colOff>28575</xdr:colOff>
      <xdr:row>8</xdr:row>
      <xdr:rowOff>19050</xdr:rowOff>
    </xdr:to>
    <xdr:cxnSp macro="">
      <xdr:nvCxnSpPr>
        <xdr:cNvPr id="12" name="Straight Arrow Connector 11"/>
        <xdr:cNvCxnSpPr/>
      </xdr:nvCxnSpPr>
      <xdr:spPr>
        <a:xfrm>
          <a:off x="4267200" y="1562100"/>
          <a:ext cx="12477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19050</xdr:rowOff>
    </xdr:from>
    <xdr:to>
      <xdr:col>13</xdr:col>
      <xdr:colOff>0</xdr:colOff>
      <xdr:row>8</xdr:row>
      <xdr:rowOff>19050</xdr:rowOff>
    </xdr:to>
    <xdr:cxnSp macro="">
      <xdr:nvCxnSpPr>
        <xdr:cNvPr id="13" name="Straight Arrow Connector 12"/>
        <xdr:cNvCxnSpPr/>
      </xdr:nvCxnSpPr>
      <xdr:spPr>
        <a:xfrm>
          <a:off x="7315200" y="1562100"/>
          <a:ext cx="60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</xdr:row>
      <xdr:rowOff>180975</xdr:rowOff>
    </xdr:from>
    <xdr:to>
      <xdr:col>13</xdr:col>
      <xdr:colOff>0</xdr:colOff>
      <xdr:row>15</xdr:row>
      <xdr:rowOff>0</xdr:rowOff>
    </xdr:to>
    <xdr:cxnSp macro="">
      <xdr:nvCxnSpPr>
        <xdr:cNvPr id="16" name="Straight Connector 15"/>
        <xdr:cNvCxnSpPr/>
      </xdr:nvCxnSpPr>
      <xdr:spPr>
        <a:xfrm>
          <a:off x="7924800" y="561975"/>
          <a:ext cx="0" cy="2324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3</xdr:row>
      <xdr:rowOff>0</xdr:rowOff>
    </xdr:to>
    <xdr:cxnSp macro="">
      <xdr:nvCxnSpPr>
        <xdr:cNvPr id="18" name="Straight Arrow Connector 17"/>
        <xdr:cNvCxnSpPr/>
      </xdr:nvCxnSpPr>
      <xdr:spPr>
        <a:xfrm>
          <a:off x="7924800" y="581025"/>
          <a:ext cx="60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6</xdr:row>
      <xdr:rowOff>0</xdr:rowOff>
    </xdr:to>
    <xdr:cxnSp macro="">
      <xdr:nvCxnSpPr>
        <xdr:cNvPr id="19" name="Straight Arrow Connector 18"/>
        <xdr:cNvCxnSpPr/>
      </xdr:nvCxnSpPr>
      <xdr:spPr>
        <a:xfrm>
          <a:off x="7924800" y="1162050"/>
          <a:ext cx="60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0</xdr:rowOff>
    </xdr:from>
    <xdr:to>
      <xdr:col>14</xdr:col>
      <xdr:colOff>0</xdr:colOff>
      <xdr:row>9</xdr:row>
      <xdr:rowOff>0</xdr:rowOff>
    </xdr:to>
    <xdr:cxnSp macro="">
      <xdr:nvCxnSpPr>
        <xdr:cNvPr id="20" name="Straight Arrow Connector 19"/>
        <xdr:cNvCxnSpPr/>
      </xdr:nvCxnSpPr>
      <xdr:spPr>
        <a:xfrm>
          <a:off x="7924800" y="1733550"/>
          <a:ext cx="60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0</xdr:rowOff>
    </xdr:from>
    <xdr:to>
      <xdr:col>14</xdr:col>
      <xdr:colOff>0</xdr:colOff>
      <xdr:row>12</xdr:row>
      <xdr:rowOff>0</xdr:rowOff>
    </xdr:to>
    <xdr:cxnSp macro="">
      <xdr:nvCxnSpPr>
        <xdr:cNvPr id="21" name="Straight Arrow Connector 20"/>
        <xdr:cNvCxnSpPr/>
      </xdr:nvCxnSpPr>
      <xdr:spPr>
        <a:xfrm>
          <a:off x="7924800" y="2314575"/>
          <a:ext cx="60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14</xdr:row>
      <xdr:rowOff>161925</xdr:rowOff>
    </xdr:from>
    <xdr:to>
      <xdr:col>14</xdr:col>
      <xdr:colOff>9525</xdr:colOff>
      <xdr:row>14</xdr:row>
      <xdr:rowOff>161925</xdr:rowOff>
    </xdr:to>
    <xdr:cxnSp macro="">
      <xdr:nvCxnSpPr>
        <xdr:cNvPr id="22" name="Straight Arrow Connector 21"/>
        <xdr:cNvCxnSpPr/>
      </xdr:nvCxnSpPr>
      <xdr:spPr>
        <a:xfrm>
          <a:off x="7934325" y="2857500"/>
          <a:ext cx="60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14</xdr:row>
      <xdr:rowOff>0</xdr:rowOff>
    </xdr:from>
    <xdr:to>
      <xdr:col>9</xdr:col>
      <xdr:colOff>28575</xdr:colOff>
      <xdr:row>14</xdr:row>
      <xdr:rowOff>19050</xdr:rowOff>
    </xdr:to>
    <xdr:cxnSp macro="">
      <xdr:nvCxnSpPr>
        <xdr:cNvPr id="23" name="Straight Arrow Connector 22"/>
        <xdr:cNvCxnSpPr/>
      </xdr:nvCxnSpPr>
      <xdr:spPr>
        <a:xfrm flipV="1">
          <a:off x="4314825" y="2695575"/>
          <a:ext cx="1200150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21</xdr:row>
      <xdr:rowOff>0</xdr:rowOff>
    </xdr:from>
    <xdr:to>
      <xdr:col>9</xdr:col>
      <xdr:colOff>28575</xdr:colOff>
      <xdr:row>21</xdr:row>
      <xdr:rowOff>19050</xdr:rowOff>
    </xdr:to>
    <xdr:cxnSp macro="">
      <xdr:nvCxnSpPr>
        <xdr:cNvPr id="25" name="Straight Arrow Connector 24"/>
        <xdr:cNvCxnSpPr/>
      </xdr:nvCxnSpPr>
      <xdr:spPr>
        <a:xfrm flipV="1">
          <a:off x="4314825" y="2695575"/>
          <a:ext cx="1200150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28</xdr:row>
      <xdr:rowOff>0</xdr:rowOff>
    </xdr:from>
    <xdr:to>
      <xdr:col>9</xdr:col>
      <xdr:colOff>28575</xdr:colOff>
      <xdr:row>28</xdr:row>
      <xdr:rowOff>19050</xdr:rowOff>
    </xdr:to>
    <xdr:cxnSp macro="">
      <xdr:nvCxnSpPr>
        <xdr:cNvPr id="26" name="Straight Arrow Connector 25"/>
        <xdr:cNvCxnSpPr/>
      </xdr:nvCxnSpPr>
      <xdr:spPr>
        <a:xfrm flipV="1">
          <a:off x="4314825" y="4038600"/>
          <a:ext cx="1200150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0</xdr:rowOff>
    </xdr:from>
    <xdr:to>
      <xdr:col>13</xdr:col>
      <xdr:colOff>0</xdr:colOff>
      <xdr:row>28</xdr:row>
      <xdr:rowOff>0</xdr:rowOff>
    </xdr:to>
    <xdr:cxnSp macro="">
      <xdr:nvCxnSpPr>
        <xdr:cNvPr id="27" name="Straight Arrow Connector 26"/>
        <xdr:cNvCxnSpPr/>
      </xdr:nvCxnSpPr>
      <xdr:spPr>
        <a:xfrm>
          <a:off x="7315200" y="5372100"/>
          <a:ext cx="60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11906</xdr:colOff>
      <xdr:row>24</xdr:row>
      <xdr:rowOff>152400</xdr:rowOff>
    </xdr:from>
    <xdr:to>
      <xdr:col>13</xdr:col>
      <xdr:colOff>19050</xdr:colOff>
      <xdr:row>31</xdr:row>
      <xdr:rowOff>59531</xdr:rowOff>
    </xdr:to>
    <xdr:cxnSp macro="">
      <xdr:nvCxnSpPr>
        <xdr:cNvPr id="29" name="Straight Connector 28"/>
        <xdr:cNvCxnSpPr/>
      </xdr:nvCxnSpPr>
      <xdr:spPr>
        <a:xfrm flipH="1">
          <a:off x="7905750" y="4772025"/>
          <a:ext cx="7144" cy="12406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11906</xdr:colOff>
      <xdr:row>28</xdr:row>
      <xdr:rowOff>1</xdr:rowOff>
    </xdr:from>
    <xdr:to>
      <xdr:col>14</xdr:col>
      <xdr:colOff>11906</xdr:colOff>
      <xdr:row>28</xdr:row>
      <xdr:rowOff>1</xdr:rowOff>
    </xdr:to>
    <xdr:cxnSp macro="">
      <xdr:nvCxnSpPr>
        <xdr:cNvPr id="31" name="Straight Arrow Connector 30"/>
        <xdr:cNvCxnSpPr/>
      </xdr:nvCxnSpPr>
      <xdr:spPr>
        <a:xfrm>
          <a:off x="7905750" y="5381626"/>
          <a:ext cx="607219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37</xdr:row>
      <xdr:rowOff>0</xdr:rowOff>
    </xdr:from>
    <xdr:to>
      <xdr:col>9</xdr:col>
      <xdr:colOff>28575</xdr:colOff>
      <xdr:row>37</xdr:row>
      <xdr:rowOff>19050</xdr:rowOff>
    </xdr:to>
    <xdr:cxnSp macro="">
      <xdr:nvCxnSpPr>
        <xdr:cNvPr id="37" name="Straight Arrow Connector 36"/>
        <xdr:cNvCxnSpPr/>
      </xdr:nvCxnSpPr>
      <xdr:spPr>
        <a:xfrm flipV="1">
          <a:off x="4298156" y="2702719"/>
          <a:ext cx="1195388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9525</xdr:rowOff>
    </xdr:from>
    <xdr:to>
      <xdr:col>3</xdr:col>
      <xdr:colOff>0</xdr:colOff>
      <xdr:row>12</xdr:row>
      <xdr:rowOff>0</xdr:rowOff>
    </xdr:to>
    <xdr:cxnSp macro="">
      <xdr:nvCxnSpPr>
        <xdr:cNvPr id="2" name="Straight Arrow Connector 1"/>
        <xdr:cNvCxnSpPr/>
      </xdr:nvCxnSpPr>
      <xdr:spPr>
        <a:xfrm>
          <a:off x="1828800" y="981075"/>
          <a:ext cx="0" cy="13335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14</xdr:row>
      <xdr:rowOff>85725</xdr:rowOff>
    </xdr:from>
    <xdr:to>
      <xdr:col>7</xdr:col>
      <xdr:colOff>38100</xdr:colOff>
      <xdr:row>14</xdr:row>
      <xdr:rowOff>85725</xdr:rowOff>
    </xdr:to>
    <xdr:cxnSp macro="">
      <xdr:nvCxnSpPr>
        <xdr:cNvPr id="3" name="Straight Arrow Connector 2"/>
        <xdr:cNvCxnSpPr/>
      </xdr:nvCxnSpPr>
      <xdr:spPr>
        <a:xfrm>
          <a:off x="3057525" y="2781300"/>
          <a:ext cx="12477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11</xdr:row>
      <xdr:rowOff>161925</xdr:rowOff>
    </xdr:from>
    <xdr:to>
      <xdr:col>7</xdr:col>
      <xdr:colOff>28575</xdr:colOff>
      <xdr:row>17</xdr:row>
      <xdr:rowOff>142875</xdr:rowOff>
    </xdr:to>
    <xdr:cxnSp macro="">
      <xdr:nvCxnSpPr>
        <xdr:cNvPr id="4" name="Straight Connector 3"/>
        <xdr:cNvCxnSpPr/>
      </xdr:nvCxnSpPr>
      <xdr:spPr>
        <a:xfrm>
          <a:off x="4286250" y="2276475"/>
          <a:ext cx="9525" cy="1143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14</xdr:row>
      <xdr:rowOff>85725</xdr:rowOff>
    </xdr:from>
    <xdr:to>
      <xdr:col>9</xdr:col>
      <xdr:colOff>28575</xdr:colOff>
      <xdr:row>14</xdr:row>
      <xdr:rowOff>104775</xdr:rowOff>
    </xdr:to>
    <xdr:cxnSp macro="">
      <xdr:nvCxnSpPr>
        <xdr:cNvPr id="14" name="Straight Arrow Connector 13"/>
        <xdr:cNvCxnSpPr/>
      </xdr:nvCxnSpPr>
      <xdr:spPr>
        <a:xfrm flipV="1">
          <a:off x="4314825" y="2781300"/>
          <a:ext cx="1200150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G20"/>
  <sheetViews>
    <sheetView tabSelected="1" workbookViewId="0">
      <selection activeCell="A18" sqref="A18:XFD18"/>
    </sheetView>
  </sheetViews>
  <sheetFormatPr defaultRowHeight="15" x14ac:dyDescent="0.25"/>
  <cols>
    <col min="1" max="1" width="22.28515625" customWidth="1"/>
    <col min="3" max="3" width="45.28515625" bestFit="1" customWidth="1"/>
    <col min="4" max="4" width="9.85546875" bestFit="1" customWidth="1"/>
    <col min="5" max="6" width="9" bestFit="1" customWidth="1"/>
    <col min="7" max="7" width="6.85546875" bestFit="1" customWidth="1"/>
    <col min="8" max="8" width="12.42578125" bestFit="1" customWidth="1"/>
    <col min="9" max="9" width="11.140625" customWidth="1"/>
    <col min="10" max="10" width="8.28515625" bestFit="1" customWidth="1"/>
    <col min="11" max="11" width="7.85546875" customWidth="1"/>
    <col min="13" max="13" width="5.140625" bestFit="1" customWidth="1"/>
    <col min="14" max="14" width="6.42578125" bestFit="1" customWidth="1"/>
    <col min="15" max="15" width="9.42578125" bestFit="1" customWidth="1"/>
    <col min="16" max="16" width="10.140625" customWidth="1"/>
    <col min="17" max="17" width="11.140625" customWidth="1"/>
    <col min="18" max="18" width="8.7109375" bestFit="1" customWidth="1"/>
    <col min="19" max="19" width="7.85546875" customWidth="1"/>
    <col min="21" max="21" width="5.140625" bestFit="1" customWidth="1"/>
    <col min="22" max="22" width="6.42578125" bestFit="1" customWidth="1"/>
    <col min="23" max="23" width="9.42578125" bestFit="1" customWidth="1"/>
    <col min="24" max="24" width="10.140625" customWidth="1"/>
    <col min="25" max="25" width="11.7109375" customWidth="1"/>
    <col min="27" max="27" width="27.85546875" bestFit="1" customWidth="1"/>
    <col min="28" max="28" width="14.28515625" customWidth="1"/>
    <col min="29" max="29" width="9.5703125" bestFit="1" customWidth="1"/>
  </cols>
  <sheetData>
    <row r="3" spans="1:33" x14ac:dyDescent="0.25">
      <c r="I3" s="188" t="s">
        <v>153</v>
      </c>
      <c r="J3" s="188"/>
      <c r="K3" s="188"/>
      <c r="L3" s="188"/>
      <c r="M3" s="188"/>
      <c r="N3" s="188"/>
      <c r="O3" s="188"/>
      <c r="P3" s="188"/>
      <c r="Q3" s="188" t="s">
        <v>154</v>
      </c>
      <c r="R3" s="188"/>
      <c r="S3" s="188"/>
      <c r="T3" s="188"/>
      <c r="U3" s="188"/>
      <c r="V3" s="188"/>
      <c r="W3" s="188"/>
      <c r="X3" s="188"/>
      <c r="Y3" s="188" t="s">
        <v>155</v>
      </c>
      <c r="Z3" s="188"/>
      <c r="AA3" s="188"/>
      <c r="AB3" s="188"/>
      <c r="AC3" s="188"/>
      <c r="AG3" s="154"/>
    </row>
    <row r="4" spans="1:33" x14ac:dyDescent="0.25">
      <c r="B4" s="187" t="s">
        <v>156</v>
      </c>
      <c r="C4" s="187" t="s">
        <v>157</v>
      </c>
      <c r="D4" s="187" t="s">
        <v>158</v>
      </c>
      <c r="E4" s="187" t="s">
        <v>159</v>
      </c>
      <c r="F4" s="187" t="s">
        <v>160</v>
      </c>
      <c r="G4" s="187" t="s">
        <v>161</v>
      </c>
      <c r="H4" s="187" t="s">
        <v>162</v>
      </c>
      <c r="I4" s="187" t="s">
        <v>163</v>
      </c>
      <c r="J4" s="187"/>
      <c r="K4" s="187" t="s">
        <v>164</v>
      </c>
      <c r="L4" s="187"/>
      <c r="M4" s="187" t="s">
        <v>165</v>
      </c>
      <c r="N4" s="187" t="s">
        <v>166</v>
      </c>
      <c r="O4" s="187" t="s">
        <v>167</v>
      </c>
      <c r="P4" s="187" t="s">
        <v>168</v>
      </c>
      <c r="Q4" s="187" t="s">
        <v>163</v>
      </c>
      <c r="R4" s="187"/>
      <c r="S4" s="187" t="s">
        <v>164</v>
      </c>
      <c r="T4" s="187"/>
      <c r="U4" s="187" t="s">
        <v>165</v>
      </c>
      <c r="V4" s="187" t="s">
        <v>166</v>
      </c>
      <c r="W4" s="187" t="s">
        <v>167</v>
      </c>
      <c r="X4" s="187" t="s">
        <v>168</v>
      </c>
      <c r="Y4" s="187" t="s">
        <v>169</v>
      </c>
      <c r="Z4" s="187" t="s">
        <v>170</v>
      </c>
      <c r="AA4" s="187" t="s">
        <v>171</v>
      </c>
      <c r="AB4" s="187" t="s">
        <v>172</v>
      </c>
      <c r="AC4" s="187" t="s">
        <v>173</v>
      </c>
      <c r="AG4" s="154"/>
    </row>
    <row r="5" spans="1:33" x14ac:dyDescent="0.25">
      <c r="B5" s="187"/>
      <c r="C5" s="187"/>
      <c r="D5" s="187"/>
      <c r="E5" s="187"/>
      <c r="F5" s="187"/>
      <c r="G5" s="187"/>
      <c r="H5" s="187"/>
      <c r="I5" s="155" t="s">
        <v>174</v>
      </c>
      <c r="J5" s="155" t="s">
        <v>175</v>
      </c>
      <c r="K5" s="155" t="s">
        <v>176</v>
      </c>
      <c r="L5" s="155" t="s">
        <v>177</v>
      </c>
      <c r="M5" s="187"/>
      <c r="N5" s="187"/>
      <c r="O5" s="187"/>
      <c r="P5" s="187"/>
      <c r="Q5" s="155" t="s">
        <v>174</v>
      </c>
      <c r="R5" s="155" t="s">
        <v>175</v>
      </c>
      <c r="S5" s="155" t="s">
        <v>176</v>
      </c>
      <c r="T5" s="155" t="s">
        <v>177</v>
      </c>
      <c r="U5" s="187"/>
      <c r="V5" s="187"/>
      <c r="W5" s="187"/>
      <c r="X5" s="187"/>
      <c r="Y5" s="187"/>
      <c r="Z5" s="187"/>
      <c r="AA5" s="187"/>
      <c r="AB5" s="187"/>
      <c r="AC5" s="187"/>
      <c r="AG5" s="154"/>
    </row>
    <row r="6" spans="1:33" ht="15.75" thickBot="1" x14ac:dyDescent="0.3">
      <c r="B6" s="187"/>
      <c r="C6" s="187"/>
      <c r="D6" s="187"/>
      <c r="E6" s="187"/>
      <c r="F6" s="187"/>
      <c r="G6" s="187"/>
      <c r="H6" s="187"/>
      <c r="I6" s="155" t="s">
        <v>44</v>
      </c>
      <c r="J6" s="155" t="s">
        <v>21</v>
      </c>
      <c r="K6" s="155" t="s">
        <v>178</v>
      </c>
      <c r="L6" s="155" t="s">
        <v>178</v>
      </c>
      <c r="M6" s="155" t="s">
        <v>178</v>
      </c>
      <c r="N6" s="155" t="s">
        <v>178</v>
      </c>
      <c r="O6" s="155" t="s">
        <v>178</v>
      </c>
      <c r="P6" s="155" t="s">
        <v>51</v>
      </c>
      <c r="Q6" s="155" t="s">
        <v>44</v>
      </c>
      <c r="R6" s="155" t="s">
        <v>21</v>
      </c>
      <c r="S6" s="155" t="s">
        <v>178</v>
      </c>
      <c r="T6" s="155" t="s">
        <v>178</v>
      </c>
      <c r="U6" s="155" t="s">
        <v>178</v>
      </c>
      <c r="V6" s="155" t="s">
        <v>178</v>
      </c>
      <c r="W6" s="155" t="s">
        <v>178</v>
      </c>
      <c r="X6" s="155" t="s">
        <v>51</v>
      </c>
      <c r="Y6" s="155"/>
      <c r="Z6" s="155" t="s">
        <v>179</v>
      </c>
      <c r="AA6" s="155" t="s">
        <v>180</v>
      </c>
      <c r="AB6" s="155" t="s">
        <v>44</v>
      </c>
      <c r="AC6" s="155"/>
      <c r="AG6" s="154"/>
    </row>
    <row r="7" spans="1:33" x14ac:dyDescent="0.25">
      <c r="A7" s="156"/>
      <c r="B7" s="157">
        <v>1</v>
      </c>
      <c r="C7" s="158" t="s">
        <v>181</v>
      </c>
      <c r="D7" s="158" t="s">
        <v>182</v>
      </c>
      <c r="E7" s="158"/>
      <c r="F7" s="158" t="s">
        <v>183</v>
      </c>
      <c r="G7" s="158"/>
      <c r="H7" s="158" t="s">
        <v>184</v>
      </c>
      <c r="I7" s="130">
        <v>270</v>
      </c>
      <c r="J7" s="159">
        <f>I7*(K7-L7)/3024*1000</f>
        <v>535.71428571428567</v>
      </c>
      <c r="K7" s="130">
        <v>38</v>
      </c>
      <c r="L7" s="130">
        <v>32</v>
      </c>
      <c r="M7" s="130">
        <v>28</v>
      </c>
      <c r="N7" s="130">
        <f t="shared" ref="N7:O15" si="0">K7-L7</f>
        <v>6</v>
      </c>
      <c r="O7" s="130">
        <f t="shared" si="0"/>
        <v>4</v>
      </c>
      <c r="P7" s="130">
        <f t="shared" ref="P7:P15" si="1">N7/(N7+O7)*100</f>
        <v>60</v>
      </c>
      <c r="Q7" s="173">
        <v>454.27885714285713</v>
      </c>
      <c r="R7" s="185">
        <f>(Q7*1000*(S7-T7))/3024</f>
        <v>345.51632653061182</v>
      </c>
      <c r="S7" s="173">
        <v>34.4</v>
      </c>
      <c r="T7" s="173">
        <v>32.1</v>
      </c>
      <c r="U7" s="173">
        <v>21</v>
      </c>
      <c r="V7" s="173">
        <f t="shared" ref="V7:W14" si="2">S7-T7</f>
        <v>2.2999999999999972</v>
      </c>
      <c r="W7" s="173">
        <f t="shared" si="2"/>
        <v>11.100000000000001</v>
      </c>
      <c r="X7" s="173">
        <f t="shared" ref="X7:X14" si="3">V7/(V7+W7)*100</f>
        <v>17.164179104477594</v>
      </c>
      <c r="Y7" s="160" t="s">
        <v>185</v>
      </c>
      <c r="Z7" s="160" t="s">
        <v>186</v>
      </c>
      <c r="AA7" s="160">
        <v>15</v>
      </c>
      <c r="AB7" s="177">
        <v>52739.275985464417</v>
      </c>
      <c r="AC7" s="179">
        <f>(Q7*1000)/(1.1422*AB7)</f>
        <v>7.5412997830436987</v>
      </c>
      <c r="AG7" s="154"/>
    </row>
    <row r="8" spans="1:33" x14ac:dyDescent="0.25">
      <c r="A8" s="161"/>
      <c r="B8" s="157">
        <v>2</v>
      </c>
      <c r="C8" s="158" t="s">
        <v>187</v>
      </c>
      <c r="D8" s="158" t="s">
        <v>182</v>
      </c>
      <c r="E8" s="158"/>
      <c r="F8" s="158" t="s">
        <v>183</v>
      </c>
      <c r="G8" s="158"/>
      <c r="H8" s="158" t="s">
        <v>184</v>
      </c>
      <c r="I8" s="130">
        <v>270</v>
      </c>
      <c r="J8" s="159">
        <f t="shared" ref="J8:J15" si="4">I8*(K8-L8)/3024*1000</f>
        <v>535.71428571428567</v>
      </c>
      <c r="K8" s="130">
        <v>38</v>
      </c>
      <c r="L8" s="130">
        <v>32</v>
      </c>
      <c r="M8" s="130">
        <v>28</v>
      </c>
      <c r="N8" s="130">
        <f t="shared" si="0"/>
        <v>6</v>
      </c>
      <c r="O8" s="130">
        <f t="shared" si="0"/>
        <v>4</v>
      </c>
      <c r="P8" s="130">
        <f t="shared" si="1"/>
        <v>60</v>
      </c>
      <c r="Q8" s="174"/>
      <c r="R8" s="186"/>
      <c r="S8" s="174"/>
      <c r="T8" s="174"/>
      <c r="U8" s="174"/>
      <c r="V8" s="174"/>
      <c r="W8" s="174"/>
      <c r="X8" s="174"/>
      <c r="Y8" s="160" t="s">
        <v>185</v>
      </c>
      <c r="Z8" s="160" t="s">
        <v>186</v>
      </c>
      <c r="AA8" s="160" t="s">
        <v>188</v>
      </c>
      <c r="AB8" s="178"/>
      <c r="AC8" s="180"/>
      <c r="AG8" s="154"/>
    </row>
    <row r="9" spans="1:33" x14ac:dyDescent="0.25">
      <c r="A9" s="165"/>
      <c r="B9" s="162">
        <v>5</v>
      </c>
      <c r="C9" s="158" t="s">
        <v>189</v>
      </c>
      <c r="D9" s="158" t="s">
        <v>190</v>
      </c>
      <c r="E9" s="166" t="s">
        <v>191</v>
      </c>
      <c r="F9" s="166" t="s">
        <v>192</v>
      </c>
      <c r="G9" s="166"/>
      <c r="H9" s="166" t="s">
        <v>193</v>
      </c>
      <c r="I9" s="130">
        <v>350</v>
      </c>
      <c r="J9" s="159">
        <f t="shared" si="4"/>
        <v>462.96296296296299</v>
      </c>
      <c r="K9" s="130">
        <v>36</v>
      </c>
      <c r="L9" s="130">
        <v>32</v>
      </c>
      <c r="M9" s="130">
        <v>28</v>
      </c>
      <c r="N9" s="130">
        <f t="shared" si="0"/>
        <v>4</v>
      </c>
      <c r="O9" s="130">
        <f t="shared" si="0"/>
        <v>4</v>
      </c>
      <c r="P9" s="167">
        <f t="shared" si="1"/>
        <v>50</v>
      </c>
      <c r="Q9" s="173">
        <v>389.38187755102041</v>
      </c>
      <c r="R9" s="185">
        <f>(Q9*1000*(S9-T9))/3024</f>
        <v>154.51661807580166</v>
      </c>
      <c r="S9" s="173">
        <v>30</v>
      </c>
      <c r="T9" s="173">
        <v>28.8</v>
      </c>
      <c r="U9" s="173">
        <v>21</v>
      </c>
      <c r="V9" s="173">
        <f t="shared" si="2"/>
        <v>1.1999999999999993</v>
      </c>
      <c r="W9" s="173">
        <f t="shared" si="2"/>
        <v>7.8000000000000007</v>
      </c>
      <c r="X9" s="175">
        <f t="shared" si="3"/>
        <v>13.333333333333325</v>
      </c>
      <c r="Y9" s="160" t="s">
        <v>185</v>
      </c>
      <c r="Z9" s="160" t="s">
        <v>186</v>
      </c>
      <c r="AA9" s="160">
        <v>11</v>
      </c>
      <c r="AB9" s="181" t="s">
        <v>194</v>
      </c>
      <c r="AC9" s="177"/>
      <c r="AG9" s="154"/>
    </row>
    <row r="10" spans="1:33" x14ac:dyDescent="0.25">
      <c r="A10" s="165"/>
      <c r="B10" s="162">
        <v>6</v>
      </c>
      <c r="C10" s="158" t="s">
        <v>195</v>
      </c>
      <c r="D10" s="158" t="s">
        <v>190</v>
      </c>
      <c r="E10" s="166" t="s">
        <v>196</v>
      </c>
      <c r="F10" s="166" t="s">
        <v>192</v>
      </c>
      <c r="G10" s="166"/>
      <c r="H10" s="166" t="s">
        <v>193</v>
      </c>
      <c r="I10" s="130">
        <v>350</v>
      </c>
      <c r="J10" s="159">
        <f t="shared" si="4"/>
        <v>462.96296296296299</v>
      </c>
      <c r="K10" s="130">
        <v>36</v>
      </c>
      <c r="L10" s="130">
        <v>32</v>
      </c>
      <c r="M10" s="130">
        <v>28</v>
      </c>
      <c r="N10" s="130">
        <f t="shared" si="0"/>
        <v>4</v>
      </c>
      <c r="O10" s="130">
        <f t="shared" si="0"/>
        <v>4</v>
      </c>
      <c r="P10" s="167">
        <f t="shared" si="1"/>
        <v>50</v>
      </c>
      <c r="Q10" s="174"/>
      <c r="R10" s="186"/>
      <c r="S10" s="174"/>
      <c r="T10" s="174"/>
      <c r="U10" s="174"/>
      <c r="V10" s="174">
        <f t="shared" si="2"/>
        <v>0</v>
      </c>
      <c r="W10" s="174">
        <f t="shared" si="2"/>
        <v>0</v>
      </c>
      <c r="X10" s="176"/>
      <c r="Y10" s="160" t="s">
        <v>185</v>
      </c>
      <c r="Z10" s="160" t="s">
        <v>186</v>
      </c>
      <c r="AA10" s="160" t="s">
        <v>188</v>
      </c>
      <c r="AB10" s="182"/>
      <c r="AC10" s="178"/>
      <c r="AG10" s="154"/>
    </row>
    <row r="11" spans="1:33" x14ac:dyDescent="0.25">
      <c r="A11" s="165" t="s">
        <v>197</v>
      </c>
      <c r="B11" s="162">
        <v>7</v>
      </c>
      <c r="C11" s="158" t="s">
        <v>198</v>
      </c>
      <c r="D11" s="158" t="s">
        <v>199</v>
      </c>
      <c r="E11" s="166"/>
      <c r="F11" s="166" t="s">
        <v>183</v>
      </c>
      <c r="G11" s="166"/>
      <c r="H11" s="166" t="s">
        <v>193</v>
      </c>
      <c r="I11" s="130">
        <v>300</v>
      </c>
      <c r="J11" s="159">
        <f t="shared" si="4"/>
        <v>396.82539682539681</v>
      </c>
      <c r="K11" s="130">
        <v>36</v>
      </c>
      <c r="L11" s="130">
        <v>32</v>
      </c>
      <c r="M11" s="130">
        <v>28</v>
      </c>
      <c r="N11" s="130">
        <f t="shared" si="0"/>
        <v>4</v>
      </c>
      <c r="O11" s="130">
        <f t="shared" si="0"/>
        <v>4</v>
      </c>
      <c r="P11" s="167">
        <f t="shared" si="1"/>
        <v>50</v>
      </c>
      <c r="Q11" s="253" t="s">
        <v>200</v>
      </c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5"/>
      <c r="AG11" s="154"/>
    </row>
    <row r="12" spans="1:33" x14ac:dyDescent="0.25">
      <c r="A12" s="165" t="s">
        <v>201</v>
      </c>
      <c r="B12" s="162">
        <v>8</v>
      </c>
      <c r="C12" s="158" t="s">
        <v>202</v>
      </c>
      <c r="D12" s="158" t="s">
        <v>199</v>
      </c>
      <c r="E12" s="166"/>
      <c r="F12" s="166" t="s">
        <v>183</v>
      </c>
      <c r="G12" s="166"/>
      <c r="H12" s="166" t="s">
        <v>193</v>
      </c>
      <c r="I12" s="130">
        <v>650</v>
      </c>
      <c r="J12" s="159">
        <f t="shared" si="4"/>
        <v>859.7883597883598</v>
      </c>
      <c r="K12" s="130">
        <v>36</v>
      </c>
      <c r="L12" s="130">
        <v>32</v>
      </c>
      <c r="M12" s="130">
        <v>28</v>
      </c>
      <c r="N12" s="130">
        <f t="shared" si="0"/>
        <v>4</v>
      </c>
      <c r="O12" s="130">
        <f t="shared" si="0"/>
        <v>4</v>
      </c>
      <c r="P12" s="167">
        <f t="shared" si="1"/>
        <v>50</v>
      </c>
      <c r="Q12" s="163"/>
      <c r="R12" s="164"/>
      <c r="S12" s="163"/>
      <c r="T12" s="163"/>
      <c r="U12" s="163"/>
      <c r="V12" s="163">
        <f t="shared" si="2"/>
        <v>0</v>
      </c>
      <c r="W12" s="163">
        <f t="shared" si="2"/>
        <v>0</v>
      </c>
      <c r="X12" s="164" t="e">
        <f t="shared" si="3"/>
        <v>#DIV/0!</v>
      </c>
      <c r="Y12" s="163"/>
      <c r="Z12" s="163"/>
      <c r="AA12" s="163"/>
      <c r="AB12" s="163"/>
      <c r="AC12" s="163"/>
      <c r="AG12" s="154"/>
    </row>
    <row r="13" spans="1:33" ht="30" x14ac:dyDescent="0.25">
      <c r="A13" s="165" t="s">
        <v>201</v>
      </c>
      <c r="B13" s="162">
        <v>9</v>
      </c>
      <c r="C13" s="158" t="s">
        <v>203</v>
      </c>
      <c r="D13" s="158" t="s">
        <v>199</v>
      </c>
      <c r="E13" s="166"/>
      <c r="F13" s="166" t="s">
        <v>183</v>
      </c>
      <c r="G13" s="166"/>
      <c r="H13" s="166" t="s">
        <v>193</v>
      </c>
      <c r="I13" s="130">
        <v>1400</v>
      </c>
      <c r="J13" s="159">
        <f t="shared" si="4"/>
        <v>1851.851851851852</v>
      </c>
      <c r="K13" s="130">
        <v>36</v>
      </c>
      <c r="L13" s="130">
        <v>32</v>
      </c>
      <c r="M13" s="130">
        <v>28</v>
      </c>
      <c r="N13" s="130">
        <f t="shared" si="0"/>
        <v>4</v>
      </c>
      <c r="O13" s="130">
        <f t="shared" si="0"/>
        <v>4</v>
      </c>
      <c r="P13" s="167">
        <f t="shared" si="1"/>
        <v>50</v>
      </c>
      <c r="Q13" s="130">
        <v>723.7</v>
      </c>
      <c r="R13" s="159">
        <f>((S13-T13)*1*1000*Q13)/3024</f>
        <v>957.27513227513225</v>
      </c>
      <c r="S13" s="130">
        <v>27</v>
      </c>
      <c r="T13" s="130">
        <v>23</v>
      </c>
      <c r="U13" s="130">
        <v>19</v>
      </c>
      <c r="V13" s="130">
        <f t="shared" si="2"/>
        <v>4</v>
      </c>
      <c r="W13" s="130">
        <f t="shared" si="2"/>
        <v>4</v>
      </c>
      <c r="X13" s="168">
        <f t="shared" si="3"/>
        <v>50</v>
      </c>
      <c r="Y13" s="160" t="s">
        <v>185</v>
      </c>
      <c r="Z13" s="160" t="s">
        <v>186</v>
      </c>
      <c r="AA13" s="169" t="s">
        <v>204</v>
      </c>
      <c r="AB13" s="160">
        <v>1304532.0000000002</v>
      </c>
      <c r="AC13" s="170">
        <f>(Q13*1000)/(AB13*1.1422)</f>
        <v>0.48569281631044842</v>
      </c>
      <c r="AG13" s="154"/>
    </row>
    <row r="14" spans="1:33" x14ac:dyDescent="0.25">
      <c r="A14" s="165"/>
      <c r="B14" s="171">
        <v>10</v>
      </c>
      <c r="C14" s="158" t="s">
        <v>205</v>
      </c>
      <c r="D14" s="158" t="s">
        <v>199</v>
      </c>
      <c r="E14" s="166"/>
      <c r="F14" s="166" t="s">
        <v>206</v>
      </c>
      <c r="G14" s="166"/>
      <c r="H14" s="166" t="s">
        <v>193</v>
      </c>
      <c r="I14" s="130">
        <v>320</v>
      </c>
      <c r="J14" s="159">
        <f t="shared" si="4"/>
        <v>677.24867724867715</v>
      </c>
      <c r="K14" s="130">
        <v>38.4</v>
      </c>
      <c r="L14" s="130">
        <v>32</v>
      </c>
      <c r="M14" s="130">
        <v>28</v>
      </c>
      <c r="N14" s="130">
        <f t="shared" si="0"/>
        <v>6.3999999999999986</v>
      </c>
      <c r="O14" s="130">
        <f t="shared" si="0"/>
        <v>4</v>
      </c>
      <c r="P14" s="167">
        <f t="shared" si="1"/>
        <v>61.538461538461533</v>
      </c>
      <c r="Q14" s="183">
        <v>446.99234693877543</v>
      </c>
      <c r="R14" s="185">
        <f>((S14-T14)*1*1000*Q14)/3024</f>
        <v>1625.9642249757044</v>
      </c>
      <c r="S14" s="173">
        <v>39</v>
      </c>
      <c r="T14" s="173">
        <v>28</v>
      </c>
      <c r="U14" s="173">
        <v>17</v>
      </c>
      <c r="V14" s="173">
        <f t="shared" si="2"/>
        <v>11</v>
      </c>
      <c r="W14" s="173">
        <f t="shared" si="2"/>
        <v>11</v>
      </c>
      <c r="X14" s="175">
        <f t="shared" si="3"/>
        <v>50</v>
      </c>
      <c r="Y14" s="160" t="s">
        <v>185</v>
      </c>
      <c r="Z14" s="160" t="s">
        <v>186</v>
      </c>
      <c r="AA14" s="172">
        <f>1.73*20*420*0.85/1000</f>
        <v>12.352199999999998</v>
      </c>
      <c r="AB14" s="177">
        <v>140825.28720857145</v>
      </c>
      <c r="AC14" s="179">
        <f>(Q14*1000)/(AB14*1.1422)</f>
        <v>2.7789279449809619</v>
      </c>
      <c r="AG14" s="154"/>
    </row>
    <row r="15" spans="1:33" x14ac:dyDescent="0.25">
      <c r="A15" s="165"/>
      <c r="B15" s="171">
        <v>11</v>
      </c>
      <c r="C15" s="158" t="s">
        <v>207</v>
      </c>
      <c r="D15" s="158" t="s">
        <v>199</v>
      </c>
      <c r="E15" s="166"/>
      <c r="F15" s="166" t="s">
        <v>206</v>
      </c>
      <c r="G15" s="166"/>
      <c r="H15" s="166" t="s">
        <v>193</v>
      </c>
      <c r="I15" s="130">
        <v>320</v>
      </c>
      <c r="J15" s="159">
        <f t="shared" si="4"/>
        <v>677.24867724867715</v>
      </c>
      <c r="K15" s="130">
        <v>38.4</v>
      </c>
      <c r="L15" s="130">
        <v>32</v>
      </c>
      <c r="M15" s="130">
        <v>28</v>
      </c>
      <c r="N15" s="130">
        <f t="shared" si="0"/>
        <v>6.3999999999999986</v>
      </c>
      <c r="O15" s="130">
        <f t="shared" si="0"/>
        <v>4</v>
      </c>
      <c r="P15" s="167">
        <f t="shared" si="1"/>
        <v>61.538461538461533</v>
      </c>
      <c r="Q15" s="184"/>
      <c r="R15" s="186"/>
      <c r="S15" s="174"/>
      <c r="T15" s="174"/>
      <c r="U15" s="174"/>
      <c r="V15" s="174"/>
      <c r="W15" s="174"/>
      <c r="X15" s="176"/>
      <c r="Y15" s="160" t="s">
        <v>185</v>
      </c>
      <c r="Z15" s="160" t="s">
        <v>186</v>
      </c>
      <c r="AA15" s="172" t="s">
        <v>200</v>
      </c>
      <c r="AB15" s="178"/>
      <c r="AC15" s="180"/>
      <c r="AG15" s="154"/>
    </row>
    <row r="17" spans="18:18" x14ac:dyDescent="0.25">
      <c r="R17">
        <f>Q9*1000*1</f>
        <v>389381.87755102041</v>
      </c>
    </row>
    <row r="18" spans="18:18" x14ac:dyDescent="0.25">
      <c r="R18">
        <f>S9-T9</f>
        <v>1.1999999999999993</v>
      </c>
    </row>
    <row r="19" spans="18:18" x14ac:dyDescent="0.25">
      <c r="R19">
        <f>R17*R18</f>
        <v>467258.25306122424</v>
      </c>
    </row>
    <row r="20" spans="18:18" x14ac:dyDescent="0.25">
      <c r="R20">
        <f>R19/3024</f>
        <v>154.51661807580166</v>
      </c>
    </row>
  </sheetData>
  <mergeCells count="58">
    <mergeCell ref="Q11:AC11"/>
    <mergeCell ref="I3:P3"/>
    <mergeCell ref="Q3:X3"/>
    <mergeCell ref="Y3:AC3"/>
    <mergeCell ref="B4:B6"/>
    <mergeCell ref="C4:C6"/>
    <mergeCell ref="D4:D6"/>
    <mergeCell ref="E4:E6"/>
    <mergeCell ref="F4:F6"/>
    <mergeCell ref="G4:G6"/>
    <mergeCell ref="H4:H6"/>
    <mergeCell ref="X4:X5"/>
    <mergeCell ref="I4:J4"/>
    <mergeCell ref="K4:L4"/>
    <mergeCell ref="M4:M5"/>
    <mergeCell ref="N4:N5"/>
    <mergeCell ref="O4:O5"/>
    <mergeCell ref="P4:P5"/>
    <mergeCell ref="Q4:R4"/>
    <mergeCell ref="S4:T4"/>
    <mergeCell ref="U4:U5"/>
    <mergeCell ref="V4:V5"/>
    <mergeCell ref="W4:W5"/>
    <mergeCell ref="Q7:Q8"/>
    <mergeCell ref="R7:R8"/>
    <mergeCell ref="S7:S8"/>
    <mergeCell ref="T7:T8"/>
    <mergeCell ref="U7:U8"/>
    <mergeCell ref="Y4:Y5"/>
    <mergeCell ref="Z4:Z5"/>
    <mergeCell ref="AA4:AA5"/>
    <mergeCell ref="AB4:AB5"/>
    <mergeCell ref="AC4:AC5"/>
    <mergeCell ref="Q9:Q10"/>
    <mergeCell ref="R9:R10"/>
    <mergeCell ref="S9:S10"/>
    <mergeCell ref="T9:T10"/>
    <mergeCell ref="U9:U10"/>
    <mergeCell ref="V7:V8"/>
    <mergeCell ref="W7:W8"/>
    <mergeCell ref="X7:X8"/>
    <mergeCell ref="AB7:AB8"/>
    <mergeCell ref="AC7:AC8"/>
    <mergeCell ref="Q14:Q15"/>
    <mergeCell ref="R14:R15"/>
    <mergeCell ref="S14:S15"/>
    <mergeCell ref="T14:T15"/>
    <mergeCell ref="U14:U15"/>
    <mergeCell ref="V9:V10"/>
    <mergeCell ref="W9:W10"/>
    <mergeCell ref="X9:X10"/>
    <mergeCell ref="AB9:AB10"/>
    <mergeCell ref="AC9:AC10"/>
    <mergeCell ref="V14:V15"/>
    <mergeCell ref="W14:W15"/>
    <mergeCell ref="X14:X15"/>
    <mergeCell ref="AB14:AB15"/>
    <mergeCell ref="AC14:AC1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1"/>
  <sheetViews>
    <sheetView topLeftCell="A4" workbookViewId="0">
      <selection activeCell="H10" sqref="H10"/>
    </sheetView>
  </sheetViews>
  <sheetFormatPr defaultRowHeight="15" x14ac:dyDescent="0.25"/>
  <cols>
    <col min="2" max="2" width="18.5703125" customWidth="1"/>
    <col min="3" max="5" width="20" customWidth="1"/>
  </cols>
  <sheetData>
    <row r="3" spans="2:5" x14ac:dyDescent="0.25">
      <c r="B3" s="246" t="s">
        <v>67</v>
      </c>
      <c r="C3" s="246"/>
      <c r="D3" s="246"/>
      <c r="E3" s="246"/>
    </row>
    <row r="5" spans="2:5" ht="15.75" thickBot="1" x14ac:dyDescent="0.3"/>
    <row r="6" spans="2:5" ht="15.75" thickBot="1" x14ac:dyDescent="0.3">
      <c r="B6" s="247" t="s">
        <v>75</v>
      </c>
      <c r="C6" s="248"/>
      <c r="D6" s="248"/>
      <c r="E6" s="249"/>
    </row>
    <row r="7" spans="2:5" x14ac:dyDescent="0.25">
      <c r="B7" s="62"/>
      <c r="C7" s="131" t="s">
        <v>148</v>
      </c>
      <c r="D7" s="131" t="s">
        <v>136</v>
      </c>
      <c r="E7" s="132" t="s">
        <v>145</v>
      </c>
    </row>
    <row r="8" spans="2:5" ht="30" x14ac:dyDescent="0.25">
      <c r="B8" s="34" t="s">
        <v>68</v>
      </c>
      <c r="C8" s="130" t="s">
        <v>18</v>
      </c>
      <c r="D8" s="84" t="s">
        <v>77</v>
      </c>
      <c r="E8" s="133" t="s">
        <v>18</v>
      </c>
    </row>
    <row r="9" spans="2:5" ht="15.75" thickBot="1" x14ac:dyDescent="0.3">
      <c r="B9" s="64"/>
      <c r="C9" s="146" t="s">
        <v>21</v>
      </c>
      <c r="D9" s="146" t="s">
        <v>21</v>
      </c>
      <c r="E9" s="147" t="s">
        <v>21</v>
      </c>
    </row>
    <row r="10" spans="2:5" x14ac:dyDescent="0.25">
      <c r="B10" s="66" t="s">
        <v>4</v>
      </c>
      <c r="C10" s="144">
        <v>381.38227513227514</v>
      </c>
      <c r="D10" s="144">
        <v>305.1058201058201</v>
      </c>
      <c r="E10" s="145">
        <v>381.38227513227514</v>
      </c>
    </row>
    <row r="11" spans="2:5" x14ac:dyDescent="0.25">
      <c r="B11" s="34" t="s">
        <v>28</v>
      </c>
      <c r="C11" s="33">
        <v>104.92374414857146</v>
      </c>
      <c r="D11" s="33">
        <v>0</v>
      </c>
      <c r="E11" s="134">
        <v>0</v>
      </c>
    </row>
    <row r="12" spans="2:5" x14ac:dyDescent="0.25">
      <c r="B12" s="34" t="s">
        <v>69</v>
      </c>
      <c r="C12" s="33">
        <v>15.007495428571431</v>
      </c>
      <c r="D12" s="33">
        <v>15.007495428571431</v>
      </c>
      <c r="E12" s="134">
        <v>15.007495428571431</v>
      </c>
    </row>
    <row r="13" spans="2:5" x14ac:dyDescent="0.25">
      <c r="B13" s="34" t="s">
        <v>70</v>
      </c>
      <c r="C13" s="33">
        <v>13.131558500000002</v>
      </c>
      <c r="D13" s="33">
        <v>13.131558500000002</v>
      </c>
      <c r="E13" s="134">
        <v>13.131558500000002</v>
      </c>
    </row>
    <row r="14" spans="2:5" x14ac:dyDescent="0.25">
      <c r="B14" s="34" t="s">
        <v>71</v>
      </c>
      <c r="C14" s="33">
        <v>290.17857142857144</v>
      </c>
      <c r="D14" s="33">
        <v>232.14285714285717</v>
      </c>
      <c r="E14" s="134">
        <v>229.16666666666671</v>
      </c>
    </row>
    <row r="15" spans="2:5" ht="15.75" thickBot="1" x14ac:dyDescent="0.3">
      <c r="B15" s="64" t="s">
        <v>74</v>
      </c>
      <c r="C15" s="135">
        <v>804.62364463798951</v>
      </c>
      <c r="D15" s="135">
        <v>565.38773117724872</v>
      </c>
      <c r="E15" s="136">
        <v>638.68799572751323</v>
      </c>
    </row>
    <row r="16" spans="2:5" ht="15.75" thickBot="1" x14ac:dyDescent="0.3"/>
    <row r="17" spans="2:5" ht="15.75" thickBot="1" x14ac:dyDescent="0.3">
      <c r="B17" s="247" t="s">
        <v>149</v>
      </c>
      <c r="C17" s="248"/>
      <c r="D17" s="248"/>
      <c r="E17" s="249"/>
    </row>
    <row r="18" spans="2:5" x14ac:dyDescent="0.25">
      <c r="B18" s="62"/>
      <c r="C18" s="151" t="s">
        <v>148</v>
      </c>
      <c r="D18" s="151" t="s">
        <v>136</v>
      </c>
      <c r="E18" s="152" t="s">
        <v>145</v>
      </c>
    </row>
    <row r="19" spans="2:5" ht="30" x14ac:dyDescent="0.25">
      <c r="B19" s="34" t="s">
        <v>68</v>
      </c>
      <c r="C19" s="130" t="s">
        <v>18</v>
      </c>
      <c r="D19" s="84" t="s">
        <v>77</v>
      </c>
      <c r="E19" s="133" t="s">
        <v>18</v>
      </c>
    </row>
    <row r="20" spans="2:5" ht="15.75" thickBot="1" x14ac:dyDescent="0.3">
      <c r="B20" s="64"/>
      <c r="C20" s="146" t="s">
        <v>21</v>
      </c>
      <c r="D20" s="153" t="s">
        <v>21</v>
      </c>
      <c r="E20" s="147" t="s">
        <v>21</v>
      </c>
    </row>
    <row r="21" spans="2:5" ht="15.75" thickBot="1" x14ac:dyDescent="0.3">
      <c r="B21" s="148" t="s">
        <v>73</v>
      </c>
      <c r="C21" s="149">
        <v>266.83087027914615</v>
      </c>
      <c r="D21" s="149">
        <v>213.46469622331693</v>
      </c>
      <c r="E21" s="150">
        <v>197.2980203317282</v>
      </c>
    </row>
    <row r="22" spans="2:5" ht="15.75" thickBot="1" x14ac:dyDescent="0.3">
      <c r="D22" s="31"/>
      <c r="E22" s="31"/>
    </row>
    <row r="23" spans="2:5" ht="15.75" thickBot="1" x14ac:dyDescent="0.3">
      <c r="B23" s="137" t="s">
        <v>79</v>
      </c>
      <c r="C23" s="138" t="s">
        <v>21</v>
      </c>
      <c r="D23" s="139">
        <v>778.8524274005656</v>
      </c>
      <c r="E23" s="140">
        <v>835.98601605924136</v>
      </c>
    </row>
    <row r="24" spans="2:5" ht="15.75" thickBot="1" x14ac:dyDescent="0.3">
      <c r="D24" s="32"/>
      <c r="E24" s="32"/>
    </row>
    <row r="25" spans="2:5" ht="15.75" thickBot="1" x14ac:dyDescent="0.3">
      <c r="B25" s="141" t="s">
        <v>72</v>
      </c>
      <c r="C25" s="138" t="s">
        <v>21</v>
      </c>
      <c r="D25" s="142">
        <v>860</v>
      </c>
      <c r="E25" s="143"/>
    </row>
    <row r="29" spans="2:5" ht="44.25" customHeight="1" x14ac:dyDescent="0.25">
      <c r="B29" s="250" t="s">
        <v>78</v>
      </c>
      <c r="C29" s="251"/>
      <c r="D29" s="251"/>
      <c r="E29" s="252"/>
    </row>
    <row r="30" spans="2:5" ht="44.25" customHeight="1" x14ac:dyDescent="0.25"/>
    <row r="31" spans="2:5" ht="44.25" customHeight="1" x14ac:dyDescent="0.25">
      <c r="B31" s="250" t="s">
        <v>146</v>
      </c>
      <c r="C31" s="251"/>
      <c r="D31" s="251"/>
      <c r="E31" s="252"/>
    </row>
  </sheetData>
  <mergeCells count="5">
    <mergeCell ref="B3:E3"/>
    <mergeCell ref="B6:E6"/>
    <mergeCell ref="B17:E17"/>
    <mergeCell ref="B29:E29"/>
    <mergeCell ref="B31:E3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P39"/>
  <sheetViews>
    <sheetView zoomScale="80" zoomScaleNormal="80" workbookViewId="0">
      <selection activeCell="R9" sqref="R9"/>
    </sheetView>
  </sheetViews>
  <sheetFormatPr defaultRowHeight="15" x14ac:dyDescent="0.25"/>
  <sheetData>
    <row r="3" spans="2:15" ht="15.75" thickBot="1" x14ac:dyDescent="0.3">
      <c r="J3" s="196" t="s">
        <v>3</v>
      </c>
      <c r="K3" s="196"/>
      <c r="L3" s="196"/>
    </row>
    <row r="4" spans="2:15" x14ac:dyDescent="0.25">
      <c r="B4" s="197" t="s">
        <v>0</v>
      </c>
      <c r="C4" s="198"/>
      <c r="D4" s="198"/>
      <c r="E4" s="199"/>
      <c r="J4" s="196"/>
      <c r="K4" s="196"/>
      <c r="L4" s="196"/>
      <c r="O4" t="s">
        <v>11</v>
      </c>
    </row>
    <row r="5" spans="2:15" ht="15.75" thickBot="1" x14ac:dyDescent="0.3">
      <c r="B5" s="200"/>
      <c r="C5" s="201"/>
      <c r="D5" s="201"/>
      <c r="E5" s="202"/>
    </row>
    <row r="7" spans="2:15" x14ac:dyDescent="0.25">
      <c r="O7" t="s">
        <v>12</v>
      </c>
    </row>
    <row r="8" spans="2:15" x14ac:dyDescent="0.25">
      <c r="J8" s="189" t="s">
        <v>4</v>
      </c>
      <c r="K8" s="190"/>
      <c r="L8" s="191"/>
    </row>
    <row r="9" spans="2:15" x14ac:dyDescent="0.25">
      <c r="J9" s="192"/>
      <c r="K9" s="193"/>
      <c r="L9" s="194"/>
    </row>
    <row r="10" spans="2:15" x14ac:dyDescent="0.25">
      <c r="O10" t="s">
        <v>13</v>
      </c>
    </row>
    <row r="12" spans="2:15" ht="15.75" thickBot="1" x14ac:dyDescent="0.3"/>
    <row r="13" spans="2:15" x14ac:dyDescent="0.25">
      <c r="B13" s="203" t="s">
        <v>2</v>
      </c>
      <c r="C13" s="204"/>
      <c r="D13" s="203" t="s">
        <v>1</v>
      </c>
      <c r="E13" s="204"/>
      <c r="O13" t="s">
        <v>26</v>
      </c>
    </row>
    <row r="14" spans="2:15" x14ac:dyDescent="0.25">
      <c r="B14" s="205"/>
      <c r="C14" s="206"/>
      <c r="D14" s="205"/>
      <c r="E14" s="206"/>
      <c r="J14" s="189" t="s">
        <v>5</v>
      </c>
      <c r="K14" s="190"/>
      <c r="L14" s="191"/>
    </row>
    <row r="15" spans="2:15" x14ac:dyDescent="0.25">
      <c r="B15" s="205"/>
      <c r="C15" s="206"/>
      <c r="D15" s="205"/>
      <c r="E15" s="206"/>
      <c r="J15" s="192"/>
      <c r="K15" s="193"/>
      <c r="L15" s="194"/>
    </row>
    <row r="16" spans="2:15" x14ac:dyDescent="0.25">
      <c r="B16" s="205"/>
      <c r="C16" s="206"/>
      <c r="D16" s="205"/>
      <c r="E16" s="206"/>
      <c r="O16" t="s">
        <v>14</v>
      </c>
    </row>
    <row r="17" spans="2:16" ht="15.75" thickBot="1" x14ac:dyDescent="0.3">
      <c r="B17" s="207"/>
      <c r="C17" s="208"/>
      <c r="D17" s="207"/>
      <c r="E17" s="208"/>
    </row>
    <row r="21" spans="2:16" x14ac:dyDescent="0.25">
      <c r="J21" s="189" t="s">
        <v>6</v>
      </c>
      <c r="K21" s="190"/>
      <c r="L21" s="191"/>
    </row>
    <row r="22" spans="2:16" x14ac:dyDescent="0.25">
      <c r="J22" s="192"/>
      <c r="K22" s="193"/>
      <c r="L22" s="194"/>
    </row>
    <row r="25" spans="2:16" ht="15" customHeight="1" x14ac:dyDescent="0.25"/>
    <row r="27" spans="2:16" x14ac:dyDescent="0.25">
      <c r="O27" s="196" t="s">
        <v>100</v>
      </c>
      <c r="P27" s="196"/>
    </row>
    <row r="28" spans="2:16" x14ac:dyDescent="0.25">
      <c r="J28" s="189" t="s">
        <v>7</v>
      </c>
      <c r="K28" s="190"/>
      <c r="L28" s="191"/>
      <c r="O28" s="196"/>
      <c r="P28" s="196"/>
    </row>
    <row r="29" spans="2:16" x14ac:dyDescent="0.25">
      <c r="J29" s="192"/>
      <c r="K29" s="193"/>
      <c r="L29" s="194"/>
      <c r="O29" s="196"/>
      <c r="P29" s="196"/>
    </row>
    <row r="31" spans="2:16" ht="15" customHeight="1" x14ac:dyDescent="0.25">
      <c r="O31" s="2"/>
      <c r="P31" s="2"/>
    </row>
    <row r="32" spans="2:16" x14ac:dyDescent="0.25">
      <c r="O32" s="2"/>
      <c r="P32" s="2"/>
    </row>
    <row r="33" spans="10:16" x14ac:dyDescent="0.25">
      <c r="O33" s="2"/>
      <c r="P33" s="2"/>
    </row>
    <row r="37" spans="10:16" ht="15" customHeight="1" x14ac:dyDescent="0.25">
      <c r="J37" s="195" t="s">
        <v>8</v>
      </c>
      <c r="K37" s="195"/>
      <c r="L37" s="195"/>
    </row>
    <row r="38" spans="10:16" x14ac:dyDescent="0.25">
      <c r="J38" s="195"/>
      <c r="K38" s="195"/>
      <c r="L38" s="195"/>
    </row>
    <row r="39" spans="10:16" x14ac:dyDescent="0.25">
      <c r="J39" s="195"/>
      <c r="K39" s="195"/>
      <c r="L39" s="195"/>
    </row>
  </sheetData>
  <mergeCells count="10">
    <mergeCell ref="J21:L22"/>
    <mergeCell ref="J28:L29"/>
    <mergeCell ref="J37:L39"/>
    <mergeCell ref="O27:P29"/>
    <mergeCell ref="B4:E5"/>
    <mergeCell ref="B13:C17"/>
    <mergeCell ref="D13:E17"/>
    <mergeCell ref="J3:L4"/>
    <mergeCell ref="J8:L9"/>
    <mergeCell ref="J14:L15"/>
  </mergeCells>
  <pageMargins left="0.7" right="0.7" top="0.75" bottom="0.75" header="0.3" footer="0.3"/>
  <pageSetup scale="83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7"/>
  <sheetViews>
    <sheetView workbookViewId="0">
      <selection activeCell="L10" sqref="L10"/>
    </sheetView>
  </sheetViews>
  <sheetFormatPr defaultRowHeight="15" x14ac:dyDescent="0.25"/>
  <sheetData>
    <row r="3" spans="2:12" ht="15.75" thickBot="1" x14ac:dyDescent="0.3">
      <c r="J3" s="2"/>
      <c r="K3" s="2"/>
      <c r="L3" s="2"/>
    </row>
    <row r="4" spans="2:12" x14ac:dyDescent="0.25">
      <c r="B4" s="197" t="s">
        <v>147</v>
      </c>
      <c r="C4" s="198"/>
      <c r="D4" s="198"/>
      <c r="E4" s="199"/>
      <c r="J4" s="2"/>
      <c r="K4" s="2"/>
      <c r="L4" s="2"/>
    </row>
    <row r="5" spans="2:12" ht="15.75" thickBot="1" x14ac:dyDescent="0.3">
      <c r="B5" s="200"/>
      <c r="C5" s="201"/>
      <c r="D5" s="201"/>
      <c r="E5" s="202"/>
    </row>
    <row r="8" spans="2:12" x14ac:dyDescent="0.25">
      <c r="J8" s="2"/>
      <c r="K8" s="2"/>
      <c r="L8" s="2"/>
    </row>
    <row r="9" spans="2:12" x14ac:dyDescent="0.25">
      <c r="J9" s="2"/>
      <c r="K9" s="2"/>
      <c r="L9" s="2"/>
    </row>
    <row r="12" spans="2:12" ht="15.75" thickBot="1" x14ac:dyDescent="0.3"/>
    <row r="13" spans="2:12" ht="15" customHeight="1" x14ac:dyDescent="0.25">
      <c r="B13" s="203" t="s">
        <v>10</v>
      </c>
      <c r="C13" s="209"/>
      <c r="D13" s="209"/>
      <c r="E13" s="204"/>
    </row>
    <row r="14" spans="2:12" x14ac:dyDescent="0.25">
      <c r="B14" s="205"/>
      <c r="C14" s="210"/>
      <c r="D14" s="210"/>
      <c r="E14" s="206"/>
      <c r="J14" s="196" t="s">
        <v>9</v>
      </c>
      <c r="K14" s="196"/>
      <c r="L14" s="196"/>
    </row>
    <row r="15" spans="2:12" x14ac:dyDescent="0.25">
      <c r="B15" s="205"/>
      <c r="C15" s="210"/>
      <c r="D15" s="210"/>
      <c r="E15" s="206"/>
      <c r="J15" s="196"/>
      <c r="K15" s="196"/>
      <c r="L15" s="196"/>
    </row>
    <row r="16" spans="2:12" x14ac:dyDescent="0.25">
      <c r="B16" s="205"/>
      <c r="C16" s="210"/>
      <c r="D16" s="210"/>
      <c r="E16" s="206"/>
      <c r="J16" s="196"/>
      <c r="K16" s="196"/>
      <c r="L16" s="196"/>
    </row>
    <row r="17" spans="2:5" ht="15.75" thickBot="1" x14ac:dyDescent="0.3">
      <c r="B17" s="207"/>
      <c r="C17" s="211"/>
      <c r="D17" s="211"/>
      <c r="E17" s="208"/>
    </row>
  </sheetData>
  <mergeCells count="3">
    <mergeCell ref="J14:L16"/>
    <mergeCell ref="B4:E5"/>
    <mergeCell ref="B13:E17"/>
  </mergeCells>
  <pageMargins left="0.7" right="0.7" top="0.75" bottom="0.75" header="0.3" footer="0.3"/>
  <pageSetup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8"/>
  <sheetViews>
    <sheetView topLeftCell="A13" zoomScale="90" zoomScaleNormal="90" workbookViewId="0">
      <selection activeCell="H28" sqref="H28"/>
    </sheetView>
  </sheetViews>
  <sheetFormatPr defaultRowHeight="15" x14ac:dyDescent="0.25"/>
  <cols>
    <col min="2" max="2" width="11.5703125" customWidth="1"/>
    <col min="3" max="3" width="17.5703125" customWidth="1"/>
    <col min="4" max="4" width="12" customWidth="1"/>
    <col min="6" max="6" width="11.5703125" customWidth="1"/>
    <col min="7" max="7" width="14.85546875" customWidth="1"/>
    <col min="8" max="8" width="12" customWidth="1"/>
    <col min="10" max="10" width="16" customWidth="1"/>
    <col min="11" max="11" width="14.85546875" customWidth="1"/>
    <col min="12" max="12" width="12" customWidth="1"/>
  </cols>
  <sheetData>
    <row r="1" spans="2:12" ht="15.75" thickBot="1" x14ac:dyDescent="0.3"/>
    <row r="2" spans="2:12" ht="19.5" thickBot="1" x14ac:dyDescent="0.35">
      <c r="B2" s="215" t="s">
        <v>27</v>
      </c>
      <c r="C2" s="216"/>
      <c r="D2" s="216"/>
      <c r="E2" s="216"/>
      <c r="F2" s="216"/>
      <c r="G2" s="216"/>
      <c r="H2" s="216"/>
      <c r="I2" s="216"/>
      <c r="J2" s="216"/>
      <c r="K2" s="216"/>
      <c r="L2" s="217"/>
    </row>
    <row r="4" spans="2:12" x14ac:dyDescent="0.25">
      <c r="B4" s="5" t="s">
        <v>11</v>
      </c>
      <c r="C4" s="6" t="s">
        <v>24</v>
      </c>
      <c r="D4" s="6"/>
      <c r="F4" s="5" t="s">
        <v>26</v>
      </c>
      <c r="G4" s="218"/>
      <c r="H4" s="219"/>
      <c r="J4" s="5" t="s">
        <v>13</v>
      </c>
      <c r="K4" s="218" t="s">
        <v>22</v>
      </c>
      <c r="L4" s="219"/>
    </row>
    <row r="5" spans="2:12" x14ac:dyDescent="0.25">
      <c r="B5" s="6"/>
      <c r="C5" s="6"/>
      <c r="D5" s="6"/>
      <c r="F5" s="6"/>
      <c r="G5" s="6"/>
      <c r="H5" s="6"/>
      <c r="J5" s="6"/>
      <c r="K5" s="6"/>
      <c r="L5" s="6"/>
    </row>
    <row r="6" spans="2:12" x14ac:dyDescent="0.25">
      <c r="B6" s="6" t="s">
        <v>15</v>
      </c>
      <c r="C6" s="6">
        <v>36</v>
      </c>
      <c r="D6" s="6" t="s">
        <v>16</v>
      </c>
      <c r="F6" s="6" t="s">
        <v>15</v>
      </c>
      <c r="G6" s="6">
        <v>36</v>
      </c>
      <c r="H6" s="6" t="s">
        <v>16</v>
      </c>
      <c r="J6" s="6" t="s">
        <v>15</v>
      </c>
      <c r="K6" s="6">
        <v>36</v>
      </c>
      <c r="L6" s="6" t="s">
        <v>16</v>
      </c>
    </row>
    <row r="7" spans="2:12" x14ac:dyDescent="0.25">
      <c r="B7" s="6" t="s">
        <v>17</v>
      </c>
      <c r="C7" s="6">
        <v>39</v>
      </c>
      <c r="D7" s="6" t="s">
        <v>16</v>
      </c>
      <c r="F7" s="6" t="s">
        <v>17</v>
      </c>
      <c r="G7" s="6">
        <v>39</v>
      </c>
      <c r="H7" s="6" t="s">
        <v>16</v>
      </c>
      <c r="J7" s="6" t="s">
        <v>17</v>
      </c>
      <c r="K7" s="6">
        <v>39</v>
      </c>
      <c r="L7" s="6" t="s">
        <v>16</v>
      </c>
    </row>
    <row r="8" spans="2:12" x14ac:dyDescent="0.25">
      <c r="B8" s="6" t="s">
        <v>20</v>
      </c>
      <c r="C8" s="6">
        <f>(C9/(1*(C7-C6)))/1000</f>
        <v>84.1</v>
      </c>
      <c r="D8" s="6" t="s">
        <v>25</v>
      </c>
      <c r="F8" s="6" t="s">
        <v>20</v>
      </c>
      <c r="G8" s="6">
        <f>(G9/(1*(G7-G6)))/1000</f>
        <v>46</v>
      </c>
      <c r="H8" s="6" t="s">
        <v>25</v>
      </c>
      <c r="J8" s="6" t="s">
        <v>20</v>
      </c>
      <c r="K8" s="6">
        <f>(K9/(1*(K7-K6)))/1000</f>
        <v>5.7</v>
      </c>
      <c r="L8" s="6" t="s">
        <v>25</v>
      </c>
    </row>
    <row r="9" spans="2:12" x14ac:dyDescent="0.25">
      <c r="B9" s="7" t="s">
        <v>18</v>
      </c>
      <c r="C9" s="8">
        <v>252300</v>
      </c>
      <c r="D9" s="8" t="s">
        <v>19</v>
      </c>
      <c r="F9" s="7" t="s">
        <v>18</v>
      </c>
      <c r="G9" s="8">
        <v>138000</v>
      </c>
      <c r="H9" s="8" t="s">
        <v>19</v>
      </c>
      <c r="J9" s="7" t="s">
        <v>18</v>
      </c>
      <c r="K9" s="8">
        <v>17100</v>
      </c>
      <c r="L9" s="8" t="s">
        <v>19</v>
      </c>
    </row>
    <row r="10" spans="2:12" x14ac:dyDescent="0.25">
      <c r="B10" s="6"/>
      <c r="C10" s="9">
        <f>C9/3024</f>
        <v>83.432539682539684</v>
      </c>
      <c r="D10" s="9" t="s">
        <v>21</v>
      </c>
      <c r="F10" s="6"/>
      <c r="G10" s="9">
        <f>G9/3024</f>
        <v>45.634920634920633</v>
      </c>
      <c r="H10" s="9" t="s">
        <v>21</v>
      </c>
      <c r="J10" s="6"/>
      <c r="K10" s="9">
        <f>K9/3024</f>
        <v>5.6547619047619051</v>
      </c>
      <c r="L10" s="9" t="s">
        <v>21</v>
      </c>
    </row>
    <row r="12" spans="2:12" x14ac:dyDescent="0.25">
      <c r="B12" s="5" t="s">
        <v>12</v>
      </c>
      <c r="C12" s="6" t="s">
        <v>23</v>
      </c>
      <c r="D12" s="6"/>
      <c r="F12" s="5" t="s">
        <v>14</v>
      </c>
      <c r="G12" s="218"/>
      <c r="H12" s="219"/>
      <c r="J12" s="10"/>
      <c r="K12" s="10"/>
      <c r="L12" s="10"/>
    </row>
    <row r="13" spans="2:12" x14ac:dyDescent="0.25">
      <c r="B13" s="6"/>
      <c r="C13" s="6"/>
      <c r="D13" s="6"/>
      <c r="F13" s="6"/>
      <c r="G13" s="6"/>
      <c r="H13" s="6"/>
      <c r="J13" s="10"/>
      <c r="K13" s="10"/>
      <c r="L13" s="10"/>
    </row>
    <row r="14" spans="2:12" x14ac:dyDescent="0.25">
      <c r="B14" s="6" t="s">
        <v>15</v>
      </c>
      <c r="C14" s="6">
        <v>36</v>
      </c>
      <c r="D14" s="6" t="s">
        <v>16</v>
      </c>
      <c r="F14" s="6" t="s">
        <v>15</v>
      </c>
      <c r="G14" s="6">
        <v>36</v>
      </c>
      <c r="H14" s="6" t="s">
        <v>16</v>
      </c>
      <c r="J14" s="10"/>
      <c r="K14" s="10"/>
      <c r="L14" s="10"/>
    </row>
    <row r="15" spans="2:12" x14ac:dyDescent="0.25">
      <c r="B15" s="6" t="s">
        <v>17</v>
      </c>
      <c r="C15" s="6">
        <v>39</v>
      </c>
      <c r="D15" s="6" t="s">
        <v>16</v>
      </c>
      <c r="F15" s="6" t="s">
        <v>17</v>
      </c>
      <c r="G15" s="6">
        <v>39</v>
      </c>
      <c r="H15" s="6" t="s">
        <v>16</v>
      </c>
      <c r="J15" s="18" t="s">
        <v>31</v>
      </c>
      <c r="K15" s="19">
        <f>C10+G10+K10+G18+C18</f>
        <v>381.38227513227514</v>
      </c>
      <c r="L15" s="18" t="s">
        <v>21</v>
      </c>
    </row>
    <row r="16" spans="2:12" x14ac:dyDescent="0.25">
      <c r="B16" s="6" t="s">
        <v>20</v>
      </c>
      <c r="C16" s="16">
        <f>(C17/(1*(C15-C14)))/1000</f>
        <v>233.33333333333334</v>
      </c>
      <c r="D16" s="6" t="s">
        <v>25</v>
      </c>
      <c r="F16" s="6" t="s">
        <v>20</v>
      </c>
      <c r="G16" s="6">
        <f>(G17/(1*(G15-G14)))/1000</f>
        <v>15.3</v>
      </c>
      <c r="H16" s="6" t="s">
        <v>25</v>
      </c>
      <c r="J16" s="18" t="s">
        <v>141</v>
      </c>
      <c r="K16" s="18">
        <f>K15*3024/4/1000</f>
        <v>288.32499999999999</v>
      </c>
      <c r="L16" s="18" t="s">
        <v>25</v>
      </c>
    </row>
    <row r="17" spans="2:12" x14ac:dyDescent="0.25">
      <c r="B17" s="7" t="s">
        <v>18</v>
      </c>
      <c r="C17" s="8">
        <v>700000</v>
      </c>
      <c r="D17" s="8" t="s">
        <v>19</v>
      </c>
      <c r="F17" s="7" t="s">
        <v>18</v>
      </c>
      <c r="G17" s="8">
        <v>45900</v>
      </c>
      <c r="H17" s="8" t="s">
        <v>19</v>
      </c>
      <c r="J17" s="10"/>
      <c r="K17" s="10"/>
      <c r="L17" s="10"/>
    </row>
    <row r="18" spans="2:12" x14ac:dyDescent="0.25">
      <c r="B18" s="6"/>
      <c r="C18" s="9">
        <f>C17/3024</f>
        <v>231.4814814814815</v>
      </c>
      <c r="D18" s="9" t="s">
        <v>21</v>
      </c>
      <c r="F18" s="6"/>
      <c r="G18" s="9">
        <f>G17/3024</f>
        <v>15.178571428571429</v>
      </c>
      <c r="H18" s="9" t="s">
        <v>21</v>
      </c>
      <c r="J18" s="10"/>
      <c r="K18" s="10"/>
      <c r="L18" s="10"/>
    </row>
    <row r="19" spans="2:12" ht="15.75" thickBot="1" x14ac:dyDescent="0.3"/>
    <row r="20" spans="2:12" ht="19.5" thickBot="1" x14ac:dyDescent="0.35">
      <c r="B20" s="215" t="s">
        <v>28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7"/>
    </row>
    <row r="21" spans="2:12" x14ac:dyDescent="0.25">
      <c r="F21" s="10"/>
      <c r="G21" s="10"/>
      <c r="H21" s="10"/>
      <c r="J21" s="10"/>
      <c r="K21" s="10"/>
      <c r="L21" s="10"/>
    </row>
    <row r="22" spans="2:12" x14ac:dyDescent="0.25">
      <c r="B22" s="1" t="s">
        <v>61</v>
      </c>
      <c r="C22" s="1"/>
      <c r="D22" s="1"/>
      <c r="E22" s="15"/>
      <c r="F22" s="13"/>
      <c r="G22" s="14"/>
      <c r="H22" s="14"/>
      <c r="I22" s="15"/>
      <c r="J22" s="15"/>
    </row>
    <row r="23" spans="2:12" x14ac:dyDescent="0.25">
      <c r="B23" s="1"/>
      <c r="C23" s="1"/>
      <c r="D23" s="1"/>
      <c r="E23" s="15"/>
      <c r="F23" s="13"/>
      <c r="G23" s="14" t="s">
        <v>143</v>
      </c>
      <c r="H23" s="14" t="s">
        <v>35</v>
      </c>
      <c r="I23" s="15">
        <f>114-6.02-6.02</f>
        <v>101.96000000000001</v>
      </c>
      <c r="J23" s="15" t="s">
        <v>36</v>
      </c>
      <c r="K23">
        <f>I23/1000</f>
        <v>0.10196000000000001</v>
      </c>
      <c r="L23" t="s">
        <v>38</v>
      </c>
    </row>
    <row r="24" spans="2:12" x14ac:dyDescent="0.25">
      <c r="B24" s="1" t="s">
        <v>33</v>
      </c>
      <c r="C24" s="1"/>
      <c r="D24" s="20">
        <f>I27</f>
        <v>88.135945084800028</v>
      </c>
      <c r="E24" s="15" t="s">
        <v>44</v>
      </c>
      <c r="F24" s="13"/>
      <c r="G24" s="14"/>
      <c r="H24" s="14" t="s">
        <v>37</v>
      </c>
      <c r="I24" s="15">
        <f>(3.14*K23*K23)/4</f>
        <v>8.1607356560000031E-3</v>
      </c>
      <c r="J24" s="15" t="s">
        <v>39</v>
      </c>
    </row>
    <row r="25" spans="2:12" x14ac:dyDescent="0.25">
      <c r="B25" s="1"/>
      <c r="C25" s="1"/>
      <c r="D25" s="1"/>
      <c r="E25" s="15"/>
      <c r="F25" s="13"/>
      <c r="G25" s="14"/>
      <c r="H25" s="14" t="s">
        <v>40</v>
      </c>
      <c r="I25" s="15">
        <v>3</v>
      </c>
      <c r="J25" s="15" t="s">
        <v>41</v>
      </c>
      <c r="K25" t="s">
        <v>45</v>
      </c>
    </row>
    <row r="26" spans="2:12" x14ac:dyDescent="0.25">
      <c r="B26" s="1" t="s">
        <v>46</v>
      </c>
      <c r="C26" s="1"/>
      <c r="D26" s="1">
        <v>4</v>
      </c>
      <c r="E26" s="15" t="s">
        <v>16</v>
      </c>
      <c r="F26" s="13"/>
      <c r="G26" s="14"/>
      <c r="H26" s="14" t="s">
        <v>42</v>
      </c>
      <c r="I26" s="15">
        <f>I25*I24</f>
        <v>2.4482206968000009E-2</v>
      </c>
      <c r="J26" s="15" t="s">
        <v>43</v>
      </c>
    </row>
    <row r="27" spans="2:12" x14ac:dyDescent="0.25">
      <c r="B27" s="1"/>
      <c r="C27" s="1"/>
      <c r="D27" s="1"/>
      <c r="E27" s="15"/>
      <c r="F27" s="13"/>
      <c r="G27" s="14"/>
      <c r="H27" s="14"/>
      <c r="I27" s="15">
        <f>I26*3600</f>
        <v>88.135945084800028</v>
      </c>
      <c r="J27" s="15" t="s">
        <v>44</v>
      </c>
    </row>
    <row r="28" spans="2:12" x14ac:dyDescent="0.25">
      <c r="B28" s="1" t="s">
        <v>18</v>
      </c>
      <c r="C28" s="1"/>
      <c r="D28" s="25">
        <f>D24*1000*1*D26</f>
        <v>352543.78033920011</v>
      </c>
      <c r="E28" s="3" t="s">
        <v>30</v>
      </c>
      <c r="F28" s="13"/>
      <c r="G28" s="14"/>
      <c r="H28" s="14"/>
      <c r="I28" s="15"/>
      <c r="J28" s="15"/>
    </row>
    <row r="29" spans="2:12" x14ac:dyDescent="0.25">
      <c r="B29" s="1"/>
      <c r="C29" s="1"/>
      <c r="D29" s="17">
        <f>D28/3024</f>
        <v>116.58193794285718</v>
      </c>
      <c r="E29" s="29" t="s">
        <v>21</v>
      </c>
      <c r="F29" s="13"/>
      <c r="G29" s="14"/>
      <c r="H29" s="14"/>
      <c r="I29" s="15"/>
      <c r="J29" s="15"/>
    </row>
    <row r="30" spans="2:12" x14ac:dyDescent="0.25">
      <c r="B30" s="1" t="s">
        <v>144</v>
      </c>
      <c r="C30" s="1"/>
      <c r="D30" s="24">
        <f>D29*0.9</f>
        <v>104.92374414857146</v>
      </c>
      <c r="E30" s="4" t="s">
        <v>21</v>
      </c>
      <c r="F30" s="13"/>
      <c r="G30" s="14"/>
      <c r="H30" s="14"/>
      <c r="I30" s="15"/>
      <c r="J30" s="15"/>
    </row>
    <row r="31" spans="2:12" s="15" customFormat="1" x14ac:dyDescent="0.25">
      <c r="B31" s="26"/>
      <c r="C31" s="18" t="s">
        <v>141</v>
      </c>
      <c r="D31" s="18">
        <f>D30*3024/4/1000</f>
        <v>79.322350576320019</v>
      </c>
      <c r="E31" s="18" t="s">
        <v>25</v>
      </c>
      <c r="F31" s="13"/>
      <c r="G31" s="14"/>
      <c r="H31" s="14"/>
    </row>
    <row r="32" spans="2:12" s="15" customFormat="1" ht="15.75" thickBot="1" x14ac:dyDescent="0.3">
      <c r="B32" s="26"/>
      <c r="C32" s="18"/>
      <c r="D32" s="18"/>
      <c r="E32" s="18"/>
      <c r="F32" s="13"/>
      <c r="G32" s="14"/>
      <c r="H32" s="14"/>
    </row>
    <row r="33" spans="2:12" ht="19.5" thickBot="1" x14ac:dyDescent="0.3">
      <c r="B33" s="212" t="s">
        <v>47</v>
      </c>
      <c r="C33" s="213"/>
      <c r="D33" s="213"/>
      <c r="E33" s="213"/>
      <c r="F33" s="213"/>
      <c r="G33" s="213"/>
      <c r="H33" s="213"/>
      <c r="I33" s="213"/>
      <c r="J33" s="213"/>
      <c r="K33" s="213"/>
      <c r="L33" s="214"/>
    </row>
    <row r="35" spans="2:12" x14ac:dyDescent="0.25">
      <c r="B35" s="13"/>
      <c r="C35" s="14"/>
      <c r="D35" s="14"/>
      <c r="E35" s="15"/>
      <c r="F35" s="13"/>
      <c r="G35" s="14"/>
      <c r="H35" s="14"/>
      <c r="I35" s="15"/>
      <c r="J35" s="15"/>
    </row>
    <row r="36" spans="2:12" x14ac:dyDescent="0.25">
      <c r="B36" s="1" t="s">
        <v>32</v>
      </c>
      <c r="C36" s="1"/>
      <c r="D36" s="1"/>
      <c r="E36" s="15"/>
      <c r="F36" s="13"/>
      <c r="G36" s="14"/>
      <c r="H36" s="14"/>
      <c r="I36" s="15"/>
      <c r="J36" s="15"/>
    </row>
    <row r="37" spans="2:12" x14ac:dyDescent="0.25">
      <c r="B37" s="1"/>
      <c r="C37" s="1"/>
      <c r="D37" s="1"/>
      <c r="E37" s="15"/>
      <c r="F37" s="13"/>
      <c r="G37" s="14" t="s">
        <v>34</v>
      </c>
      <c r="H37" s="14" t="s">
        <v>35</v>
      </c>
      <c r="I37" s="15">
        <f>48.26-3.68-3.68</f>
        <v>40.9</v>
      </c>
      <c r="J37" s="15" t="s">
        <v>36</v>
      </c>
      <c r="K37">
        <f>I37/1000</f>
        <v>4.0899999999999999E-2</v>
      </c>
      <c r="L37" t="s">
        <v>38</v>
      </c>
    </row>
    <row r="38" spans="2:12" x14ac:dyDescent="0.25">
      <c r="B38" s="1" t="s">
        <v>33</v>
      </c>
      <c r="C38" s="1"/>
      <c r="D38" s="20">
        <f>I41</f>
        <v>14.182083180000003</v>
      </c>
      <c r="E38" s="15" t="s">
        <v>44</v>
      </c>
      <c r="F38" s="13"/>
      <c r="G38" s="14"/>
      <c r="H38" s="14" t="s">
        <v>37</v>
      </c>
      <c r="I38" s="15">
        <f>(3.14*K37*K37)/4</f>
        <v>1.3131558500000002E-3</v>
      </c>
      <c r="J38" s="15" t="s">
        <v>39</v>
      </c>
    </row>
    <row r="39" spans="2:12" x14ac:dyDescent="0.25">
      <c r="B39" s="1"/>
      <c r="C39" s="1"/>
      <c r="D39" s="1"/>
      <c r="E39" s="15"/>
      <c r="F39" s="13"/>
      <c r="G39" s="14"/>
      <c r="H39" s="14" t="s">
        <v>40</v>
      </c>
      <c r="I39" s="15">
        <v>3</v>
      </c>
      <c r="J39" s="15" t="s">
        <v>41</v>
      </c>
      <c r="K39" t="s">
        <v>45</v>
      </c>
    </row>
    <row r="40" spans="2:12" x14ac:dyDescent="0.25">
      <c r="B40" s="1" t="s">
        <v>46</v>
      </c>
      <c r="C40" s="1"/>
      <c r="D40" s="1">
        <v>4</v>
      </c>
      <c r="E40" s="15" t="s">
        <v>16</v>
      </c>
      <c r="F40" s="13"/>
      <c r="G40" s="14"/>
      <c r="H40" s="14" t="s">
        <v>42</v>
      </c>
      <c r="I40" s="15">
        <f>I39*I38</f>
        <v>3.9394675500000007E-3</v>
      </c>
      <c r="J40" s="15" t="s">
        <v>43</v>
      </c>
    </row>
    <row r="41" spans="2:12" x14ac:dyDescent="0.25">
      <c r="B41" s="1"/>
      <c r="C41" s="1"/>
      <c r="D41" s="1"/>
      <c r="E41" s="15"/>
      <c r="F41" s="13"/>
      <c r="G41" s="14"/>
      <c r="H41" s="14"/>
      <c r="I41" s="15">
        <f>I40*3600</f>
        <v>14.182083180000003</v>
      </c>
      <c r="J41" s="15" t="s">
        <v>44</v>
      </c>
    </row>
    <row r="42" spans="2:12" x14ac:dyDescent="0.25">
      <c r="B42" s="1" t="s">
        <v>18</v>
      </c>
      <c r="C42" s="1"/>
      <c r="D42" s="25">
        <f>D38*1000*1*D40</f>
        <v>56728.332720000013</v>
      </c>
      <c r="E42" s="3" t="s">
        <v>30</v>
      </c>
      <c r="F42" s="13"/>
      <c r="G42" s="14"/>
      <c r="H42" s="14"/>
      <c r="I42" s="15"/>
      <c r="J42" s="15"/>
    </row>
    <row r="43" spans="2:12" x14ac:dyDescent="0.25">
      <c r="B43" s="1"/>
      <c r="C43" s="1"/>
      <c r="D43" s="17">
        <f>D42/3024</f>
        <v>18.759369285714289</v>
      </c>
      <c r="E43" s="29" t="s">
        <v>21</v>
      </c>
      <c r="F43" s="13"/>
      <c r="G43" s="14"/>
      <c r="H43" s="14"/>
      <c r="I43" s="15"/>
      <c r="J43" s="15"/>
    </row>
    <row r="44" spans="2:12" x14ac:dyDescent="0.25">
      <c r="B44" s="1" t="s">
        <v>62</v>
      </c>
      <c r="C44" s="1"/>
      <c r="D44" s="24">
        <f>D43*0.8</f>
        <v>15.007495428571431</v>
      </c>
      <c r="E44" s="4" t="s">
        <v>21</v>
      </c>
      <c r="F44" s="13"/>
      <c r="G44" s="14"/>
      <c r="H44" s="14"/>
      <c r="I44" s="15"/>
      <c r="J44" s="15"/>
    </row>
    <row r="45" spans="2:12" x14ac:dyDescent="0.25">
      <c r="C45" s="18" t="s">
        <v>141</v>
      </c>
      <c r="D45" s="18">
        <f>D44*3024/4/1000</f>
        <v>11.345666544000002</v>
      </c>
      <c r="E45" s="18" t="s">
        <v>25</v>
      </c>
    </row>
    <row r="46" spans="2:12" ht="15.75" thickBot="1" x14ac:dyDescent="0.3">
      <c r="C46" s="18"/>
      <c r="D46" s="18"/>
      <c r="E46" s="18"/>
    </row>
    <row r="47" spans="2:12" ht="19.5" thickBot="1" x14ac:dyDescent="0.3">
      <c r="B47" s="212" t="s">
        <v>29</v>
      </c>
      <c r="C47" s="213"/>
      <c r="D47" s="213"/>
      <c r="E47" s="213"/>
      <c r="F47" s="213"/>
      <c r="G47" s="213"/>
      <c r="H47" s="213"/>
      <c r="I47" s="213"/>
      <c r="J47" s="213"/>
      <c r="K47" s="213"/>
      <c r="L47" s="214"/>
    </row>
    <row r="48" spans="2:12" x14ac:dyDescent="0.25">
      <c r="F48" s="10"/>
      <c r="G48" s="10"/>
      <c r="H48" s="10"/>
      <c r="J48" s="10"/>
      <c r="K48" s="10"/>
      <c r="L48" s="10"/>
    </row>
    <row r="49" spans="2:12" x14ac:dyDescent="0.25">
      <c r="B49" s="1" t="s">
        <v>32</v>
      </c>
      <c r="C49" s="1"/>
      <c r="D49" s="1"/>
      <c r="E49" s="15"/>
      <c r="F49" s="13"/>
      <c r="G49" s="14"/>
      <c r="H49" s="14"/>
      <c r="I49" s="15"/>
      <c r="J49" s="15"/>
    </row>
    <row r="50" spans="2:12" x14ac:dyDescent="0.25">
      <c r="B50" s="1"/>
      <c r="C50" s="1"/>
      <c r="D50" s="1"/>
      <c r="E50" s="15"/>
      <c r="F50" s="13"/>
      <c r="G50" s="14" t="s">
        <v>34</v>
      </c>
      <c r="H50" s="14" t="s">
        <v>35</v>
      </c>
      <c r="I50" s="15">
        <f>48.26-3.68-3.68</f>
        <v>40.9</v>
      </c>
      <c r="J50" s="15" t="s">
        <v>36</v>
      </c>
      <c r="K50">
        <f>I50/1000</f>
        <v>4.0899999999999999E-2</v>
      </c>
      <c r="L50" t="s">
        <v>38</v>
      </c>
    </row>
    <row r="51" spans="2:12" x14ac:dyDescent="0.25">
      <c r="B51" s="1" t="s">
        <v>33</v>
      </c>
      <c r="C51" s="1"/>
      <c r="D51" s="20">
        <f>I54</f>
        <v>14.182083180000003</v>
      </c>
      <c r="E51" s="15" t="s">
        <v>44</v>
      </c>
      <c r="F51" s="13"/>
      <c r="G51" s="14"/>
      <c r="H51" s="14" t="s">
        <v>37</v>
      </c>
      <c r="I51" s="15">
        <f>(3.14*K50*K50)/4</f>
        <v>1.3131558500000002E-3</v>
      </c>
      <c r="J51" s="15" t="s">
        <v>39</v>
      </c>
    </row>
    <row r="52" spans="2:12" x14ac:dyDescent="0.25">
      <c r="B52" s="1"/>
      <c r="C52" s="1"/>
      <c r="D52" s="1"/>
      <c r="E52" s="15"/>
      <c r="F52" s="13"/>
      <c r="G52" s="14"/>
      <c r="H52" s="14" t="s">
        <v>40</v>
      </c>
      <c r="I52" s="15">
        <v>3</v>
      </c>
      <c r="J52" s="15" t="s">
        <v>41</v>
      </c>
      <c r="K52" t="s">
        <v>45</v>
      </c>
    </row>
    <row r="53" spans="2:12" x14ac:dyDescent="0.25">
      <c r="B53" s="1" t="s">
        <v>46</v>
      </c>
      <c r="C53" s="1"/>
      <c r="D53" s="1">
        <v>4</v>
      </c>
      <c r="E53" s="15" t="s">
        <v>16</v>
      </c>
      <c r="F53" s="13"/>
      <c r="G53" s="14"/>
      <c r="H53" s="14" t="s">
        <v>42</v>
      </c>
      <c r="I53" s="15">
        <f>I52*I51</f>
        <v>3.9394675500000007E-3</v>
      </c>
      <c r="J53" s="15" t="s">
        <v>43</v>
      </c>
    </row>
    <row r="54" spans="2:12" x14ac:dyDescent="0.25">
      <c r="B54" s="1"/>
      <c r="C54" s="1"/>
      <c r="D54" s="1"/>
      <c r="E54" s="15"/>
      <c r="F54" s="13"/>
      <c r="G54" s="14"/>
      <c r="H54" s="14"/>
      <c r="I54" s="15">
        <f>I53*3600</f>
        <v>14.182083180000003</v>
      </c>
      <c r="J54" s="15" t="s">
        <v>44</v>
      </c>
    </row>
    <row r="55" spans="2:12" x14ac:dyDescent="0.25">
      <c r="B55" s="1" t="s">
        <v>18</v>
      </c>
      <c r="C55" s="1"/>
      <c r="D55" s="25">
        <f>D51*1000*1*D53</f>
        <v>56728.332720000013</v>
      </c>
      <c r="E55" s="3" t="s">
        <v>30</v>
      </c>
      <c r="F55" s="13"/>
      <c r="G55" s="14"/>
      <c r="H55" s="14"/>
      <c r="I55" s="15"/>
      <c r="J55" s="15"/>
    </row>
    <row r="56" spans="2:12" x14ac:dyDescent="0.25">
      <c r="B56" s="1"/>
      <c r="C56" s="1"/>
      <c r="D56" s="17">
        <f>D55/3024</f>
        <v>18.759369285714289</v>
      </c>
      <c r="E56" s="29" t="s">
        <v>21</v>
      </c>
      <c r="F56" s="13"/>
      <c r="G56" s="14"/>
      <c r="H56" s="14"/>
      <c r="I56" s="15"/>
      <c r="J56" s="15"/>
    </row>
    <row r="57" spans="2:12" x14ac:dyDescent="0.25">
      <c r="B57" s="1" t="s">
        <v>65</v>
      </c>
      <c r="C57" s="1"/>
      <c r="D57" s="24">
        <f>D56*0.7</f>
        <v>13.131558500000002</v>
      </c>
      <c r="E57" s="4" t="s">
        <v>21</v>
      </c>
      <c r="F57" s="13"/>
      <c r="G57" s="14"/>
      <c r="H57" s="14"/>
      <c r="I57" s="15"/>
      <c r="J57" s="15"/>
    </row>
    <row r="58" spans="2:12" x14ac:dyDescent="0.25">
      <c r="B58" s="1"/>
      <c r="C58" s="18" t="s">
        <v>141</v>
      </c>
      <c r="D58" s="18">
        <f>D57*3024/4/1000</f>
        <v>9.9274582260000024</v>
      </c>
      <c r="E58" s="18" t="s">
        <v>25</v>
      </c>
      <c r="F58" s="13"/>
      <c r="G58" s="14"/>
      <c r="H58" s="14"/>
      <c r="I58" s="15"/>
      <c r="J58" s="15"/>
    </row>
    <row r="59" spans="2:12" ht="15.75" thickBot="1" x14ac:dyDescent="0.3">
      <c r="B59" s="1"/>
      <c r="C59" s="18"/>
      <c r="D59" s="18"/>
      <c r="E59" s="18"/>
      <c r="F59" s="13"/>
      <c r="G59" s="14"/>
      <c r="H59" s="14"/>
      <c r="I59" s="15"/>
      <c r="J59" s="15"/>
    </row>
    <row r="60" spans="2:12" ht="19.5" thickBot="1" x14ac:dyDescent="0.3">
      <c r="B60" s="212" t="s">
        <v>48</v>
      </c>
      <c r="C60" s="213"/>
      <c r="D60" s="213"/>
      <c r="E60" s="213"/>
      <c r="F60" s="213"/>
      <c r="G60" s="213"/>
      <c r="H60" s="213"/>
      <c r="I60" s="213"/>
      <c r="J60" s="213"/>
      <c r="K60" s="213"/>
      <c r="L60" s="214"/>
    </row>
    <row r="62" spans="2:12" x14ac:dyDescent="0.25">
      <c r="B62" s="12" t="s">
        <v>49</v>
      </c>
      <c r="C62" s="21" t="s">
        <v>50</v>
      </c>
      <c r="D62" s="21"/>
      <c r="E62" s="22"/>
      <c r="F62" s="23"/>
      <c r="G62" s="21"/>
      <c r="H62" s="14"/>
      <c r="I62" s="15"/>
      <c r="J62" s="15"/>
    </row>
    <row r="63" spans="2:12" x14ac:dyDescent="0.25">
      <c r="B63" s="1"/>
      <c r="C63" s="1"/>
      <c r="D63" s="1"/>
      <c r="E63" s="15"/>
      <c r="F63" s="13"/>
      <c r="G63" s="14"/>
      <c r="H63" s="14"/>
      <c r="I63" s="15"/>
      <c r="J63" s="15"/>
    </row>
    <row r="64" spans="2:12" x14ac:dyDescent="0.25">
      <c r="B64" s="1" t="s">
        <v>52</v>
      </c>
      <c r="C64" s="1"/>
      <c r="D64" s="20">
        <v>10</v>
      </c>
      <c r="E64" s="15" t="s">
        <v>53</v>
      </c>
      <c r="F64" s="13"/>
      <c r="G64" s="1"/>
      <c r="H64" s="1"/>
      <c r="I64" s="1"/>
      <c r="J64" s="15"/>
    </row>
    <row r="65" spans="2:10" x14ac:dyDescent="0.25">
      <c r="B65" s="1"/>
      <c r="C65" s="1"/>
      <c r="D65" s="1"/>
      <c r="E65" s="15"/>
      <c r="F65" s="13"/>
      <c r="G65" s="1"/>
      <c r="H65" s="1"/>
      <c r="I65" s="1"/>
      <c r="J65" s="15"/>
    </row>
    <row r="66" spans="2:10" x14ac:dyDescent="0.25">
      <c r="B66" s="1" t="s">
        <v>54</v>
      </c>
      <c r="C66" s="1"/>
      <c r="D66" s="1">
        <v>6.5</v>
      </c>
      <c r="E66" s="15" t="s">
        <v>53</v>
      </c>
      <c r="F66" s="13"/>
      <c r="G66" s="1"/>
      <c r="H66" s="1"/>
      <c r="I66" s="1"/>
      <c r="J66" s="15"/>
    </row>
    <row r="67" spans="2:10" x14ac:dyDescent="0.25">
      <c r="B67" s="1" t="s">
        <v>56</v>
      </c>
      <c r="C67" s="1"/>
      <c r="D67" s="1">
        <v>2</v>
      </c>
      <c r="E67" s="15" t="s">
        <v>51</v>
      </c>
      <c r="F67" s="13"/>
      <c r="G67" s="1"/>
      <c r="H67" s="1"/>
      <c r="I67" s="1"/>
      <c r="J67" s="15"/>
    </row>
    <row r="68" spans="2:10" x14ac:dyDescent="0.25">
      <c r="B68" s="26" t="s">
        <v>55</v>
      </c>
      <c r="C68" s="1"/>
      <c r="D68" s="26">
        <v>8</v>
      </c>
      <c r="E68" s="15" t="s">
        <v>51</v>
      </c>
      <c r="F68" s="13"/>
      <c r="G68" s="1"/>
      <c r="H68" s="1"/>
      <c r="I68" s="1"/>
      <c r="J68" s="15"/>
    </row>
    <row r="69" spans="2:10" x14ac:dyDescent="0.25">
      <c r="B69" s="26" t="s">
        <v>57</v>
      </c>
      <c r="C69" s="1"/>
      <c r="D69" s="20">
        <f>(D66*D67%)/D68%</f>
        <v>1.625</v>
      </c>
      <c r="E69" s="15" t="s">
        <v>53</v>
      </c>
      <c r="F69" s="13"/>
      <c r="G69" s="1"/>
      <c r="H69" s="1"/>
      <c r="I69" s="1"/>
      <c r="J69" s="15"/>
    </row>
    <row r="70" spans="2:10" x14ac:dyDescent="0.25">
      <c r="B70" s="26" t="s">
        <v>64</v>
      </c>
      <c r="D70" s="27">
        <f>D66-D69</f>
        <v>4.875</v>
      </c>
      <c r="E70" s="15" t="s">
        <v>53</v>
      </c>
      <c r="G70" s="1"/>
      <c r="H70" s="1"/>
      <c r="I70" s="1"/>
    </row>
    <row r="71" spans="2:10" x14ac:dyDescent="0.25">
      <c r="B71" s="26" t="s">
        <v>59</v>
      </c>
      <c r="D71">
        <f>D70/3</f>
        <v>1.625</v>
      </c>
      <c r="E71" s="15" t="s">
        <v>53</v>
      </c>
      <c r="G71" s="1"/>
      <c r="H71" s="1"/>
      <c r="I71" s="1"/>
    </row>
    <row r="72" spans="2:10" x14ac:dyDescent="0.25">
      <c r="B72" s="26" t="s">
        <v>60</v>
      </c>
      <c r="D72" s="28">
        <f>D71*1000*540</f>
        <v>877500</v>
      </c>
      <c r="E72" s="3" t="s">
        <v>30</v>
      </c>
      <c r="G72" s="1"/>
      <c r="H72" s="1"/>
      <c r="I72" s="1"/>
    </row>
    <row r="73" spans="2:10" x14ac:dyDescent="0.25">
      <c r="D73" s="24">
        <f>D72/3024</f>
        <v>290.17857142857144</v>
      </c>
      <c r="E73" s="4" t="s">
        <v>21</v>
      </c>
      <c r="G73" s="1"/>
      <c r="H73" s="1"/>
      <c r="I73" s="1"/>
    </row>
    <row r="74" spans="2:10" x14ac:dyDescent="0.25">
      <c r="C74" s="18" t="s">
        <v>141</v>
      </c>
      <c r="D74" s="18">
        <f>D73*3024/4/1000</f>
        <v>219.375</v>
      </c>
      <c r="E74" s="79" t="s">
        <v>25</v>
      </c>
      <c r="G74" s="1"/>
      <c r="H74" s="1"/>
      <c r="I74" s="1"/>
    </row>
    <row r="78" spans="2:10" x14ac:dyDescent="0.25">
      <c r="B78" s="32" t="s">
        <v>142</v>
      </c>
      <c r="D78" s="32">
        <f>D74+D58+D45+D31+K16</f>
        <v>608.29547534632002</v>
      </c>
      <c r="E78" s="79" t="s">
        <v>25</v>
      </c>
    </row>
  </sheetData>
  <mergeCells count="8">
    <mergeCell ref="B60:L60"/>
    <mergeCell ref="B33:L33"/>
    <mergeCell ref="B47:L47"/>
    <mergeCell ref="B2:L2"/>
    <mergeCell ref="B20:L20"/>
    <mergeCell ref="G12:H12"/>
    <mergeCell ref="G4:H4"/>
    <mergeCell ref="K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1"/>
  <sheetViews>
    <sheetView topLeftCell="A24" workbookViewId="0">
      <selection activeCell="H43" sqref="H43"/>
    </sheetView>
  </sheetViews>
  <sheetFormatPr defaultRowHeight="15" x14ac:dyDescent="0.25"/>
  <cols>
    <col min="2" max="2" width="11.5703125" customWidth="1"/>
    <col min="3" max="3" width="17.5703125" customWidth="1"/>
    <col min="4" max="4" width="12" customWidth="1"/>
    <col min="6" max="6" width="11.5703125" customWidth="1"/>
    <col min="7" max="7" width="14.85546875" customWidth="1"/>
    <col min="8" max="8" width="12" customWidth="1"/>
    <col min="10" max="10" width="16" customWidth="1"/>
    <col min="11" max="11" width="14.85546875" customWidth="1"/>
    <col min="12" max="12" width="12" customWidth="1"/>
  </cols>
  <sheetData>
    <row r="1" spans="2:12" ht="15.75" thickBot="1" x14ac:dyDescent="0.3"/>
    <row r="2" spans="2:12" ht="19.5" thickBot="1" x14ac:dyDescent="0.35">
      <c r="B2" s="215" t="s">
        <v>27</v>
      </c>
      <c r="C2" s="216"/>
      <c r="D2" s="216"/>
      <c r="E2" s="216"/>
      <c r="F2" s="216"/>
      <c r="G2" s="216"/>
      <c r="H2" s="216"/>
      <c r="I2" s="216"/>
      <c r="J2" s="216"/>
      <c r="K2" s="216"/>
      <c r="L2" s="217"/>
    </row>
    <row r="4" spans="2:12" x14ac:dyDescent="0.25">
      <c r="B4" s="5" t="s">
        <v>11</v>
      </c>
      <c r="C4" s="6" t="s">
        <v>24</v>
      </c>
      <c r="D4" s="6"/>
      <c r="F4" s="5" t="s">
        <v>26</v>
      </c>
      <c r="G4" s="218"/>
      <c r="H4" s="219"/>
      <c r="J4" s="5" t="s">
        <v>13</v>
      </c>
      <c r="K4" s="218" t="s">
        <v>22</v>
      </c>
      <c r="L4" s="219"/>
    </row>
    <row r="5" spans="2:12" x14ac:dyDescent="0.25">
      <c r="B5" s="6"/>
      <c r="C5" s="6"/>
      <c r="D5" s="6"/>
      <c r="F5" s="6"/>
      <c r="G5" s="6"/>
      <c r="H5" s="6"/>
      <c r="J5" s="6"/>
      <c r="K5" s="6"/>
      <c r="L5" s="6"/>
    </row>
    <row r="6" spans="2:12" x14ac:dyDescent="0.25">
      <c r="B6" s="6" t="s">
        <v>15</v>
      </c>
      <c r="C6" s="6">
        <v>36</v>
      </c>
      <c r="D6" s="6" t="s">
        <v>16</v>
      </c>
      <c r="F6" s="6" t="s">
        <v>15</v>
      </c>
      <c r="G6" s="6">
        <v>36</v>
      </c>
      <c r="H6" s="6" t="s">
        <v>16</v>
      </c>
      <c r="J6" s="6" t="s">
        <v>15</v>
      </c>
      <c r="K6" s="6">
        <v>36</v>
      </c>
      <c r="L6" s="6" t="s">
        <v>16</v>
      </c>
    </row>
    <row r="7" spans="2:12" x14ac:dyDescent="0.25">
      <c r="B7" s="6" t="s">
        <v>17</v>
      </c>
      <c r="C7" s="6">
        <v>39</v>
      </c>
      <c r="D7" s="6" t="s">
        <v>16</v>
      </c>
      <c r="F7" s="6" t="s">
        <v>17</v>
      </c>
      <c r="G7" s="6">
        <v>39</v>
      </c>
      <c r="H7" s="6" t="s">
        <v>16</v>
      </c>
      <c r="J7" s="6" t="s">
        <v>17</v>
      </c>
      <c r="K7" s="6">
        <v>39</v>
      </c>
      <c r="L7" s="6" t="s">
        <v>16</v>
      </c>
    </row>
    <row r="8" spans="2:12" x14ac:dyDescent="0.25">
      <c r="B8" s="6" t="s">
        <v>20</v>
      </c>
      <c r="C8" s="6">
        <f>(C9/(1*(C7-C6)))/1000</f>
        <v>84.1</v>
      </c>
      <c r="D8" s="6" t="s">
        <v>25</v>
      </c>
      <c r="F8" s="6" t="s">
        <v>20</v>
      </c>
      <c r="G8" s="6">
        <f>(G9/(1*(G7-G6)))/1000</f>
        <v>46</v>
      </c>
      <c r="H8" s="6" t="s">
        <v>25</v>
      </c>
      <c r="J8" s="6" t="s">
        <v>20</v>
      </c>
      <c r="K8" s="6">
        <f>(K9/(1*(K7-K6)))/1000</f>
        <v>5.7</v>
      </c>
      <c r="L8" s="6" t="s">
        <v>25</v>
      </c>
    </row>
    <row r="9" spans="2:12" x14ac:dyDescent="0.25">
      <c r="B9" s="7" t="s">
        <v>18</v>
      </c>
      <c r="C9" s="8">
        <v>252300</v>
      </c>
      <c r="D9" s="8" t="s">
        <v>19</v>
      </c>
      <c r="F9" s="7" t="s">
        <v>18</v>
      </c>
      <c r="G9" s="8">
        <v>138000</v>
      </c>
      <c r="H9" s="8" t="s">
        <v>19</v>
      </c>
      <c r="J9" s="7" t="s">
        <v>18</v>
      </c>
      <c r="K9" s="8">
        <v>17100</v>
      </c>
      <c r="L9" s="8" t="s">
        <v>19</v>
      </c>
    </row>
    <row r="10" spans="2:12" x14ac:dyDescent="0.25">
      <c r="B10" s="6"/>
      <c r="C10" s="9">
        <f>C9/3024</f>
        <v>83.432539682539684</v>
      </c>
      <c r="D10" s="9" t="s">
        <v>21</v>
      </c>
      <c r="F10" s="6"/>
      <c r="G10" s="9">
        <f>G9/3024</f>
        <v>45.634920634920633</v>
      </c>
      <c r="H10" s="9" t="s">
        <v>21</v>
      </c>
      <c r="J10" s="6"/>
      <c r="K10" s="9">
        <f>K9/3024</f>
        <v>5.6547619047619051</v>
      </c>
      <c r="L10" s="9" t="s">
        <v>21</v>
      </c>
    </row>
    <row r="12" spans="2:12" x14ac:dyDescent="0.25">
      <c r="B12" s="5" t="s">
        <v>12</v>
      </c>
      <c r="C12" s="6" t="s">
        <v>23</v>
      </c>
      <c r="D12" s="6"/>
      <c r="F12" s="5" t="s">
        <v>14</v>
      </c>
      <c r="G12" s="218"/>
      <c r="H12" s="219"/>
      <c r="J12" s="10"/>
      <c r="K12" s="10"/>
      <c r="L12" s="10"/>
    </row>
    <row r="13" spans="2:12" x14ac:dyDescent="0.25">
      <c r="B13" s="6"/>
      <c r="C13" s="6"/>
      <c r="D13" s="6"/>
      <c r="F13" s="6"/>
      <c r="G13" s="6"/>
      <c r="H13" s="6"/>
      <c r="J13" s="10"/>
      <c r="K13" s="10"/>
      <c r="L13" s="10"/>
    </row>
    <row r="14" spans="2:12" x14ac:dyDescent="0.25">
      <c r="B14" s="6" t="s">
        <v>15</v>
      </c>
      <c r="C14" s="6">
        <v>36</v>
      </c>
      <c r="D14" s="6" t="s">
        <v>16</v>
      </c>
      <c r="F14" s="6" t="s">
        <v>15</v>
      </c>
      <c r="G14" s="6">
        <v>36</v>
      </c>
      <c r="H14" s="6" t="s">
        <v>16</v>
      </c>
      <c r="J14" s="10"/>
      <c r="K14" s="10"/>
      <c r="L14" s="10"/>
    </row>
    <row r="15" spans="2:12" x14ac:dyDescent="0.25">
      <c r="B15" s="6" t="s">
        <v>17</v>
      </c>
      <c r="C15" s="6">
        <v>39</v>
      </c>
      <c r="D15" s="6" t="s">
        <v>16</v>
      </c>
      <c r="F15" s="6" t="s">
        <v>17</v>
      </c>
      <c r="G15" s="6">
        <v>39</v>
      </c>
      <c r="H15" s="6" t="s">
        <v>16</v>
      </c>
      <c r="J15" s="18" t="s">
        <v>31</v>
      </c>
      <c r="K15" s="19">
        <f>C10+G10+K10+G18+C18</f>
        <v>381.38227513227514</v>
      </c>
      <c r="L15" s="18" t="s">
        <v>21</v>
      </c>
    </row>
    <row r="16" spans="2:12" x14ac:dyDescent="0.25">
      <c r="B16" s="6" t="s">
        <v>20</v>
      </c>
      <c r="C16" s="16">
        <f>(C17/(1*(C15-C14)))/1000</f>
        <v>233.33333333333334</v>
      </c>
      <c r="D16" s="6" t="s">
        <v>25</v>
      </c>
      <c r="F16" s="6" t="s">
        <v>20</v>
      </c>
      <c r="G16" s="6">
        <f>(G17/(1*(G15-G14)))/1000</f>
        <v>15.3</v>
      </c>
      <c r="H16" s="6" t="s">
        <v>25</v>
      </c>
      <c r="J16" s="18" t="s">
        <v>141</v>
      </c>
      <c r="K16" s="18">
        <f>K15*3024/4/1000</f>
        <v>288.32499999999999</v>
      </c>
      <c r="L16" s="79" t="s">
        <v>25</v>
      </c>
    </row>
    <row r="17" spans="2:12" x14ac:dyDescent="0.25">
      <c r="B17" s="7" t="s">
        <v>18</v>
      </c>
      <c r="C17" s="8">
        <v>700000</v>
      </c>
      <c r="D17" s="8" t="s">
        <v>19</v>
      </c>
      <c r="F17" s="7" t="s">
        <v>18</v>
      </c>
      <c r="G17" s="8">
        <v>45900</v>
      </c>
      <c r="H17" s="8" t="s">
        <v>19</v>
      </c>
      <c r="J17" s="10"/>
      <c r="K17" s="10"/>
      <c r="L17" s="10"/>
    </row>
    <row r="18" spans="2:12" x14ac:dyDescent="0.25">
      <c r="B18" s="6"/>
      <c r="C18" s="9">
        <f>C17/3024</f>
        <v>231.4814814814815</v>
      </c>
      <c r="D18" s="9" t="s">
        <v>21</v>
      </c>
      <c r="F18" s="6"/>
      <c r="G18" s="9">
        <f>G17/3024</f>
        <v>15.178571428571429</v>
      </c>
      <c r="H18" s="9" t="s">
        <v>21</v>
      </c>
      <c r="J18" s="10"/>
      <c r="K18" s="10"/>
      <c r="L18" s="10"/>
    </row>
    <row r="19" spans="2:12" ht="15.75" thickBot="1" x14ac:dyDescent="0.3"/>
    <row r="20" spans="2:12" ht="19.5" thickBot="1" x14ac:dyDescent="0.35">
      <c r="B20" s="215" t="s">
        <v>28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7"/>
    </row>
    <row r="21" spans="2:12" x14ac:dyDescent="0.25">
      <c r="F21" s="10"/>
      <c r="G21" s="10"/>
      <c r="H21" s="10"/>
      <c r="J21" s="10"/>
      <c r="K21" s="10"/>
      <c r="L21" s="10"/>
    </row>
    <row r="22" spans="2:12" x14ac:dyDescent="0.25">
      <c r="B22" s="1" t="s">
        <v>61</v>
      </c>
      <c r="C22" s="1"/>
      <c r="D22" s="1"/>
      <c r="E22" s="15"/>
      <c r="F22" s="13"/>
      <c r="G22" s="14"/>
      <c r="H22" s="14"/>
      <c r="I22" s="15"/>
      <c r="J22" s="15"/>
    </row>
    <row r="23" spans="2:12" x14ac:dyDescent="0.25">
      <c r="B23" s="1"/>
      <c r="C23" s="1"/>
      <c r="D23" s="1"/>
      <c r="E23" s="15"/>
      <c r="F23" s="13"/>
      <c r="G23" s="14" t="s">
        <v>143</v>
      </c>
      <c r="H23" s="14" t="s">
        <v>35</v>
      </c>
      <c r="I23" s="15">
        <f>114-6.02-6.02</f>
        <v>101.96000000000001</v>
      </c>
      <c r="J23" s="15" t="s">
        <v>36</v>
      </c>
      <c r="K23">
        <f>I23/1000</f>
        <v>0.10196000000000001</v>
      </c>
      <c r="L23" t="s">
        <v>38</v>
      </c>
    </row>
    <row r="24" spans="2:12" x14ac:dyDescent="0.25">
      <c r="B24" s="1" t="s">
        <v>33</v>
      </c>
      <c r="C24" s="1"/>
      <c r="D24" s="20">
        <f>I27</f>
        <v>88.135945084800028</v>
      </c>
      <c r="E24" s="15" t="s">
        <v>44</v>
      </c>
      <c r="F24" s="13"/>
      <c r="G24" s="14"/>
      <c r="H24" s="14" t="s">
        <v>37</v>
      </c>
      <c r="I24" s="15">
        <f>(3.14*K23*K23)/4</f>
        <v>8.1607356560000031E-3</v>
      </c>
      <c r="J24" s="15" t="s">
        <v>39</v>
      </c>
    </row>
    <row r="25" spans="2:12" x14ac:dyDescent="0.25">
      <c r="B25" s="1"/>
      <c r="C25" s="1"/>
      <c r="D25" s="1"/>
      <c r="E25" s="15"/>
      <c r="F25" s="13"/>
      <c r="G25" s="14"/>
      <c r="H25" s="14" t="s">
        <v>40</v>
      </c>
      <c r="I25" s="15">
        <v>3</v>
      </c>
      <c r="J25" s="15" t="s">
        <v>41</v>
      </c>
      <c r="K25" t="s">
        <v>45</v>
      </c>
    </row>
    <row r="26" spans="2:12" x14ac:dyDescent="0.25">
      <c r="B26" s="1" t="s">
        <v>46</v>
      </c>
      <c r="C26" s="1"/>
      <c r="D26" s="1">
        <v>4</v>
      </c>
      <c r="E26" s="15" t="s">
        <v>16</v>
      </c>
      <c r="F26" s="13"/>
      <c r="G26" s="14"/>
      <c r="H26" s="14" t="s">
        <v>42</v>
      </c>
      <c r="I26" s="15">
        <f>I25*I24</f>
        <v>2.4482206968000009E-2</v>
      </c>
      <c r="J26" s="15" t="s">
        <v>43</v>
      </c>
    </row>
    <row r="27" spans="2:12" x14ac:dyDescent="0.25">
      <c r="B27" s="1"/>
      <c r="C27" s="1"/>
      <c r="D27" s="1"/>
      <c r="E27" s="15"/>
      <c r="F27" s="13"/>
      <c r="G27" s="14"/>
      <c r="H27" s="14"/>
      <c r="I27" s="15">
        <f>I26*3600</f>
        <v>88.135945084800028</v>
      </c>
      <c r="J27" s="15" t="s">
        <v>44</v>
      </c>
    </row>
    <row r="28" spans="2:12" x14ac:dyDescent="0.25">
      <c r="B28" s="1" t="s">
        <v>18</v>
      </c>
      <c r="C28" s="1"/>
      <c r="D28" s="25">
        <f>D24*1000*1*D26</f>
        <v>352543.78033920011</v>
      </c>
      <c r="E28" s="3" t="s">
        <v>30</v>
      </c>
      <c r="F28" s="13"/>
      <c r="G28" s="14"/>
      <c r="H28" s="14"/>
      <c r="I28" s="15"/>
      <c r="J28" s="15"/>
    </row>
    <row r="29" spans="2:12" x14ac:dyDescent="0.25">
      <c r="B29" s="1"/>
      <c r="C29" s="1"/>
      <c r="D29" s="17">
        <f>D28/3024</f>
        <v>116.58193794285718</v>
      </c>
      <c r="E29" s="29" t="s">
        <v>21</v>
      </c>
      <c r="F29" s="13"/>
      <c r="G29" s="14"/>
      <c r="H29" s="14"/>
      <c r="I29" s="15"/>
      <c r="J29" s="15"/>
    </row>
    <row r="30" spans="2:12" x14ac:dyDescent="0.25">
      <c r="B30" s="1" t="s">
        <v>144</v>
      </c>
      <c r="C30" s="1"/>
      <c r="D30" s="24">
        <f>D29*0.9</f>
        <v>104.92374414857146</v>
      </c>
      <c r="E30" s="4" t="s">
        <v>21</v>
      </c>
      <c r="F30" s="13"/>
      <c r="G30" s="14"/>
      <c r="H30" s="14"/>
      <c r="I30" s="15"/>
      <c r="J30" s="15"/>
    </row>
    <row r="31" spans="2:12" s="15" customFormat="1" x14ac:dyDescent="0.25">
      <c r="B31" s="26"/>
      <c r="C31" s="18" t="s">
        <v>141</v>
      </c>
      <c r="D31" s="18">
        <f>D30*3024/4/1000</f>
        <v>79.322350576320019</v>
      </c>
      <c r="E31" s="79" t="s">
        <v>25</v>
      </c>
      <c r="F31" s="13"/>
      <c r="G31" s="14"/>
      <c r="H31" s="14"/>
    </row>
    <row r="32" spans="2:12" s="15" customFormat="1" ht="15.75" thickBot="1" x14ac:dyDescent="0.3">
      <c r="B32" s="26"/>
      <c r="C32" s="18"/>
      <c r="D32" s="18"/>
      <c r="E32" s="79"/>
      <c r="F32" s="13"/>
      <c r="G32" s="14"/>
      <c r="H32" s="14"/>
    </row>
    <row r="33" spans="2:12" ht="19.5" thickBot="1" x14ac:dyDescent="0.3">
      <c r="B33" s="212" t="s">
        <v>47</v>
      </c>
      <c r="C33" s="213"/>
      <c r="D33" s="213"/>
      <c r="E33" s="213"/>
      <c r="F33" s="213"/>
      <c r="G33" s="213"/>
      <c r="H33" s="213"/>
      <c r="I33" s="213"/>
      <c r="J33" s="213"/>
      <c r="K33" s="213"/>
      <c r="L33" s="214"/>
    </row>
    <row r="35" spans="2:12" x14ac:dyDescent="0.25">
      <c r="B35" s="13"/>
      <c r="C35" s="14"/>
      <c r="D35" s="14"/>
      <c r="E35" s="15"/>
      <c r="F35" s="13"/>
      <c r="G35" s="14"/>
      <c r="H35" s="14"/>
      <c r="I35" s="15"/>
      <c r="J35" s="15"/>
    </row>
    <row r="36" spans="2:12" x14ac:dyDescent="0.25">
      <c r="B36" s="1" t="s">
        <v>32</v>
      </c>
      <c r="C36" s="1"/>
      <c r="D36" s="1"/>
      <c r="E36" s="15"/>
      <c r="F36" s="13"/>
      <c r="G36" s="14"/>
      <c r="H36" s="14"/>
      <c r="I36" s="15"/>
      <c r="J36" s="15"/>
    </row>
    <row r="37" spans="2:12" x14ac:dyDescent="0.25">
      <c r="B37" s="1"/>
      <c r="C37" s="1"/>
      <c r="D37" s="1"/>
      <c r="E37" s="15"/>
      <c r="F37" s="13"/>
      <c r="G37" s="14" t="s">
        <v>34</v>
      </c>
      <c r="H37" s="14" t="s">
        <v>35</v>
      </c>
      <c r="I37" s="15">
        <f>48.26-3.68-3.68</f>
        <v>40.9</v>
      </c>
      <c r="J37" s="15" t="s">
        <v>36</v>
      </c>
      <c r="K37">
        <f>I37/1000</f>
        <v>4.0899999999999999E-2</v>
      </c>
      <c r="L37" t="s">
        <v>38</v>
      </c>
    </row>
    <row r="38" spans="2:12" x14ac:dyDescent="0.25">
      <c r="B38" s="1" t="s">
        <v>33</v>
      </c>
      <c r="C38" s="1"/>
      <c r="D38" s="20">
        <f>I41</f>
        <v>14.182083180000003</v>
      </c>
      <c r="E38" s="15" t="s">
        <v>44</v>
      </c>
      <c r="F38" s="13"/>
      <c r="G38" s="14"/>
      <c r="H38" s="14" t="s">
        <v>37</v>
      </c>
      <c r="I38" s="15">
        <f>(3.14*K37*K37)/4</f>
        <v>1.3131558500000002E-3</v>
      </c>
      <c r="J38" s="15" t="s">
        <v>39</v>
      </c>
    </row>
    <row r="39" spans="2:12" x14ac:dyDescent="0.25">
      <c r="B39" s="1"/>
      <c r="C39" s="1"/>
      <c r="D39" s="1"/>
      <c r="E39" s="15"/>
      <c r="F39" s="13"/>
      <c r="G39" s="14"/>
      <c r="H39" s="14" t="s">
        <v>40</v>
      </c>
      <c r="I39" s="15">
        <v>3</v>
      </c>
      <c r="J39" s="15" t="s">
        <v>41</v>
      </c>
      <c r="K39" t="s">
        <v>45</v>
      </c>
    </row>
    <row r="40" spans="2:12" x14ac:dyDescent="0.25">
      <c r="B40" s="1" t="s">
        <v>46</v>
      </c>
      <c r="C40" s="1"/>
      <c r="D40" s="1">
        <v>4</v>
      </c>
      <c r="E40" s="15" t="s">
        <v>16</v>
      </c>
      <c r="F40" s="13"/>
      <c r="G40" s="14"/>
      <c r="H40" s="14" t="s">
        <v>42</v>
      </c>
      <c r="I40" s="15">
        <f>I39*I38</f>
        <v>3.9394675500000007E-3</v>
      </c>
      <c r="J40" s="15" t="s">
        <v>43</v>
      </c>
    </row>
    <row r="41" spans="2:12" x14ac:dyDescent="0.25">
      <c r="B41" s="1"/>
      <c r="C41" s="1"/>
      <c r="D41" s="1"/>
      <c r="E41" s="15"/>
      <c r="F41" s="13"/>
      <c r="G41" s="14"/>
      <c r="H41" s="14"/>
      <c r="I41" s="15">
        <f>I40*3600</f>
        <v>14.182083180000003</v>
      </c>
      <c r="J41" s="15" t="s">
        <v>44</v>
      </c>
    </row>
    <row r="42" spans="2:12" x14ac:dyDescent="0.25">
      <c r="B42" s="1" t="s">
        <v>18</v>
      </c>
      <c r="C42" s="1"/>
      <c r="D42" s="25">
        <f>D38*1000*1*D40</f>
        <v>56728.332720000013</v>
      </c>
      <c r="E42" s="3" t="s">
        <v>30</v>
      </c>
      <c r="F42" s="13"/>
      <c r="G42" s="14"/>
      <c r="H42" s="14"/>
      <c r="I42" s="15"/>
      <c r="J42" s="15"/>
    </row>
    <row r="43" spans="2:12" x14ac:dyDescent="0.25">
      <c r="B43" s="1"/>
      <c r="C43" s="1"/>
      <c r="D43" s="17">
        <f>D42/3024</f>
        <v>18.759369285714289</v>
      </c>
      <c r="E43" s="29" t="s">
        <v>21</v>
      </c>
      <c r="F43" s="13"/>
      <c r="G43" s="14"/>
      <c r="H43" s="14"/>
      <c r="I43" s="15"/>
      <c r="J43" s="15"/>
    </row>
    <row r="44" spans="2:12" x14ac:dyDescent="0.25">
      <c r="B44" s="1" t="s">
        <v>62</v>
      </c>
      <c r="C44" s="1"/>
      <c r="D44" s="24">
        <f>D43*0.8</f>
        <v>15.007495428571431</v>
      </c>
      <c r="E44" s="4" t="s">
        <v>21</v>
      </c>
      <c r="F44" s="13"/>
      <c r="G44" s="14"/>
      <c r="H44" s="14"/>
      <c r="I44" s="15"/>
      <c r="J44" s="15"/>
    </row>
    <row r="45" spans="2:12" x14ac:dyDescent="0.25">
      <c r="C45" s="18" t="s">
        <v>141</v>
      </c>
      <c r="D45" s="18">
        <f>D44*3024/4/1000</f>
        <v>11.345666544000002</v>
      </c>
      <c r="E45" s="79" t="s">
        <v>25</v>
      </c>
    </row>
    <row r="46" spans="2:12" ht="15.75" thickBot="1" x14ac:dyDescent="0.3">
      <c r="C46" s="18"/>
      <c r="D46" s="18"/>
      <c r="E46" s="79"/>
    </row>
    <row r="47" spans="2:12" ht="19.5" thickBot="1" x14ac:dyDescent="0.3">
      <c r="B47" s="212" t="s">
        <v>29</v>
      </c>
      <c r="C47" s="213"/>
      <c r="D47" s="213"/>
      <c r="E47" s="213"/>
      <c r="F47" s="213"/>
      <c r="G47" s="213"/>
      <c r="H47" s="213"/>
      <c r="I47" s="213"/>
      <c r="J47" s="213"/>
      <c r="K47" s="213"/>
      <c r="L47" s="214"/>
    </row>
    <row r="48" spans="2:12" x14ac:dyDescent="0.25">
      <c r="F48" s="10"/>
      <c r="G48" s="10"/>
      <c r="H48" s="10"/>
      <c r="J48" s="10"/>
      <c r="K48" s="10"/>
      <c r="L48" s="10"/>
    </row>
    <row r="49" spans="2:12" x14ac:dyDescent="0.25">
      <c r="B49" s="1" t="s">
        <v>32</v>
      </c>
      <c r="C49" s="1"/>
      <c r="D49" s="1"/>
      <c r="E49" s="15"/>
      <c r="F49" s="13"/>
      <c r="G49" s="14"/>
      <c r="H49" s="14"/>
      <c r="I49" s="15"/>
      <c r="J49" s="15"/>
    </row>
    <row r="50" spans="2:12" x14ac:dyDescent="0.25">
      <c r="B50" s="1"/>
      <c r="C50" s="1"/>
      <c r="D50" s="1"/>
      <c r="E50" s="15"/>
      <c r="F50" s="13"/>
      <c r="G50" s="14" t="s">
        <v>34</v>
      </c>
      <c r="H50" s="14" t="s">
        <v>35</v>
      </c>
      <c r="I50" s="15">
        <f>48.26-3.68-3.68</f>
        <v>40.9</v>
      </c>
      <c r="J50" s="15" t="s">
        <v>36</v>
      </c>
      <c r="K50">
        <f>I50/1000</f>
        <v>4.0899999999999999E-2</v>
      </c>
      <c r="L50" t="s">
        <v>38</v>
      </c>
    </row>
    <row r="51" spans="2:12" x14ac:dyDescent="0.25">
      <c r="B51" s="1" t="s">
        <v>33</v>
      </c>
      <c r="C51" s="1"/>
      <c r="D51" s="20">
        <f>I54</f>
        <v>14.182083180000003</v>
      </c>
      <c r="E51" s="15" t="s">
        <v>44</v>
      </c>
      <c r="F51" s="13"/>
      <c r="G51" s="14"/>
      <c r="H51" s="14" t="s">
        <v>37</v>
      </c>
      <c r="I51" s="15">
        <f>(3.14*K50*K50)/4</f>
        <v>1.3131558500000002E-3</v>
      </c>
      <c r="J51" s="15" t="s">
        <v>39</v>
      </c>
    </row>
    <row r="52" spans="2:12" x14ac:dyDescent="0.25">
      <c r="B52" s="1"/>
      <c r="C52" s="1"/>
      <c r="D52" s="1"/>
      <c r="E52" s="15"/>
      <c r="F52" s="13"/>
      <c r="G52" s="14"/>
      <c r="H52" s="14" t="s">
        <v>40</v>
      </c>
      <c r="I52" s="15">
        <v>3</v>
      </c>
      <c r="J52" s="15" t="s">
        <v>41</v>
      </c>
      <c r="K52" t="s">
        <v>45</v>
      </c>
    </row>
    <row r="53" spans="2:12" x14ac:dyDescent="0.25">
      <c r="B53" s="1" t="s">
        <v>46</v>
      </c>
      <c r="C53" s="1"/>
      <c r="D53" s="1">
        <v>4</v>
      </c>
      <c r="E53" s="15" t="s">
        <v>16</v>
      </c>
      <c r="F53" s="13"/>
      <c r="G53" s="14"/>
      <c r="H53" s="14" t="s">
        <v>42</v>
      </c>
      <c r="I53" s="15">
        <f>I52*I51</f>
        <v>3.9394675500000007E-3</v>
      </c>
      <c r="J53" s="15" t="s">
        <v>43</v>
      </c>
    </row>
    <row r="54" spans="2:12" x14ac:dyDescent="0.25">
      <c r="B54" s="1"/>
      <c r="C54" s="1"/>
      <c r="D54" s="1"/>
      <c r="E54" s="15"/>
      <c r="F54" s="13"/>
      <c r="G54" s="14"/>
      <c r="H54" s="14"/>
      <c r="I54" s="15">
        <f>I53*3600</f>
        <v>14.182083180000003</v>
      </c>
      <c r="J54" s="15" t="s">
        <v>44</v>
      </c>
    </row>
    <row r="55" spans="2:12" x14ac:dyDescent="0.25">
      <c r="B55" s="1" t="s">
        <v>18</v>
      </c>
      <c r="C55" s="1"/>
      <c r="D55" s="25">
        <f>D51*1000*1*D53</f>
        <v>56728.332720000013</v>
      </c>
      <c r="E55" s="3" t="s">
        <v>30</v>
      </c>
      <c r="F55" s="13"/>
      <c r="G55" s="14"/>
      <c r="H55" s="14"/>
      <c r="I55" s="15"/>
      <c r="J55" s="15"/>
    </row>
    <row r="56" spans="2:12" x14ac:dyDescent="0.25">
      <c r="B56" s="1"/>
      <c r="C56" s="1"/>
      <c r="D56" s="17">
        <f>D55/3024</f>
        <v>18.759369285714289</v>
      </c>
      <c r="E56" s="29" t="s">
        <v>21</v>
      </c>
      <c r="F56" s="13"/>
      <c r="G56" s="14"/>
      <c r="H56" s="14"/>
      <c r="I56" s="15"/>
      <c r="J56" s="15"/>
    </row>
    <row r="57" spans="2:12" x14ac:dyDescent="0.25">
      <c r="B57" s="1" t="s">
        <v>65</v>
      </c>
      <c r="C57" s="1"/>
      <c r="D57" s="24">
        <f>D56*0.7</f>
        <v>13.131558500000002</v>
      </c>
      <c r="E57" s="4" t="s">
        <v>21</v>
      </c>
      <c r="F57" s="13"/>
      <c r="G57" s="14"/>
      <c r="H57" s="14"/>
      <c r="I57" s="15"/>
      <c r="J57" s="15"/>
    </row>
    <row r="58" spans="2:12" x14ac:dyDescent="0.25">
      <c r="B58" s="1"/>
      <c r="C58" s="18" t="s">
        <v>141</v>
      </c>
      <c r="D58" s="18">
        <f>D57*3024/4/1000</f>
        <v>9.9274582260000024</v>
      </c>
      <c r="E58" s="79" t="s">
        <v>25</v>
      </c>
      <c r="F58" s="13"/>
      <c r="G58" s="14"/>
      <c r="H58" s="14"/>
      <c r="I58" s="15"/>
      <c r="J58" s="15"/>
    </row>
    <row r="59" spans="2:12" ht="15.75" thickBot="1" x14ac:dyDescent="0.3">
      <c r="B59" s="1"/>
      <c r="C59" s="18"/>
      <c r="D59" s="18"/>
      <c r="E59" s="79"/>
      <c r="F59" s="13"/>
      <c r="G59" s="14"/>
      <c r="H59" s="14"/>
      <c r="I59" s="15"/>
      <c r="J59" s="15"/>
    </row>
    <row r="60" spans="2:12" ht="19.5" thickBot="1" x14ac:dyDescent="0.3">
      <c r="B60" s="212" t="s">
        <v>48</v>
      </c>
      <c r="C60" s="213"/>
      <c r="D60" s="213"/>
      <c r="E60" s="213"/>
      <c r="F60" s="213"/>
      <c r="G60" s="213"/>
      <c r="H60" s="213"/>
      <c r="I60" s="213"/>
      <c r="J60" s="213"/>
      <c r="K60" s="213"/>
      <c r="L60" s="214"/>
    </row>
    <row r="62" spans="2:12" x14ac:dyDescent="0.25">
      <c r="B62" s="12" t="s">
        <v>49</v>
      </c>
      <c r="C62" s="21" t="s">
        <v>50</v>
      </c>
      <c r="D62" s="21"/>
      <c r="E62" s="22"/>
      <c r="F62" s="23"/>
      <c r="G62" s="21"/>
      <c r="H62" s="14"/>
      <c r="I62" s="15"/>
      <c r="J62" s="15"/>
    </row>
    <row r="63" spans="2:12" x14ac:dyDescent="0.25">
      <c r="B63" s="1"/>
      <c r="C63" s="1"/>
      <c r="D63" s="1"/>
      <c r="E63" s="15"/>
      <c r="F63" s="13"/>
      <c r="G63" s="14"/>
      <c r="H63" s="14"/>
      <c r="I63" s="15"/>
      <c r="J63" s="15"/>
    </row>
    <row r="64" spans="2:12" x14ac:dyDescent="0.25">
      <c r="B64" s="1" t="s">
        <v>52</v>
      </c>
      <c r="C64" s="1"/>
      <c r="D64" s="20">
        <v>10</v>
      </c>
      <c r="E64" s="15" t="s">
        <v>53</v>
      </c>
      <c r="F64" s="13"/>
      <c r="G64" s="1"/>
      <c r="H64" s="1"/>
      <c r="I64" s="1"/>
      <c r="J64" s="15"/>
    </row>
    <row r="65" spans="2:10" x14ac:dyDescent="0.25">
      <c r="B65" s="1"/>
      <c r="C65" s="1"/>
      <c r="D65" s="1"/>
      <c r="E65" s="15"/>
      <c r="F65" s="13"/>
      <c r="G65" s="1"/>
      <c r="H65" s="1"/>
      <c r="I65" s="1"/>
      <c r="J65" s="15"/>
    </row>
    <row r="66" spans="2:10" x14ac:dyDescent="0.25">
      <c r="B66" s="1" t="s">
        <v>54</v>
      </c>
      <c r="C66" s="1"/>
      <c r="D66" s="1">
        <v>7.7</v>
      </c>
      <c r="E66" s="15" t="s">
        <v>53</v>
      </c>
      <c r="F66" s="13"/>
      <c r="G66" s="1"/>
      <c r="H66" s="1"/>
      <c r="I66" s="1"/>
      <c r="J66" s="15"/>
    </row>
    <row r="67" spans="2:10" x14ac:dyDescent="0.25">
      <c r="B67" s="1" t="s">
        <v>56</v>
      </c>
      <c r="C67" s="1"/>
      <c r="D67" s="1">
        <v>15</v>
      </c>
      <c r="E67" s="15" t="s">
        <v>51</v>
      </c>
      <c r="F67" s="13"/>
      <c r="G67" s="1"/>
      <c r="H67" s="1"/>
      <c r="I67" s="1"/>
      <c r="J67" s="15"/>
    </row>
    <row r="68" spans="2:10" x14ac:dyDescent="0.25">
      <c r="B68" s="26" t="s">
        <v>55</v>
      </c>
      <c r="C68" s="1"/>
      <c r="D68" s="26">
        <v>30</v>
      </c>
      <c r="E68" s="15" t="s">
        <v>51</v>
      </c>
      <c r="F68" s="13"/>
      <c r="G68" s="1"/>
      <c r="H68" s="1"/>
      <c r="I68" s="1"/>
      <c r="J68" s="15"/>
    </row>
    <row r="69" spans="2:10" x14ac:dyDescent="0.25">
      <c r="B69" s="26" t="s">
        <v>57</v>
      </c>
      <c r="C69" s="1"/>
      <c r="D69" s="20">
        <f>(D66*D67%)/D68%</f>
        <v>3.85</v>
      </c>
      <c r="E69" s="15" t="s">
        <v>53</v>
      </c>
      <c r="F69" s="13"/>
      <c r="G69" s="1"/>
      <c r="H69" s="1"/>
      <c r="I69" s="1"/>
      <c r="J69" s="15"/>
    </row>
    <row r="70" spans="2:10" x14ac:dyDescent="0.25">
      <c r="B70" s="26" t="s">
        <v>64</v>
      </c>
      <c r="D70" s="27">
        <f>D66-D69</f>
        <v>3.85</v>
      </c>
      <c r="E70" s="15" t="s">
        <v>53</v>
      </c>
      <c r="G70" s="1"/>
      <c r="H70" s="1"/>
      <c r="I70" s="1"/>
    </row>
    <row r="71" spans="2:10" x14ac:dyDescent="0.25">
      <c r="B71" s="26" t="s">
        <v>59</v>
      </c>
      <c r="D71" s="36">
        <f>D70/3</f>
        <v>1.2833333333333334</v>
      </c>
      <c r="E71" s="15" t="s">
        <v>53</v>
      </c>
      <c r="G71" s="1"/>
      <c r="H71" s="1"/>
      <c r="I71" s="1"/>
    </row>
    <row r="72" spans="2:10" x14ac:dyDescent="0.25">
      <c r="B72" s="26" t="s">
        <v>60</v>
      </c>
      <c r="D72" s="28">
        <f>D71*1000*540</f>
        <v>693000.00000000012</v>
      </c>
      <c r="E72" s="3" t="s">
        <v>30</v>
      </c>
      <c r="G72" s="1"/>
      <c r="H72" s="1"/>
      <c r="I72" s="1"/>
    </row>
    <row r="73" spans="2:10" x14ac:dyDescent="0.25">
      <c r="D73" s="24">
        <f>D72/3024</f>
        <v>229.16666666666671</v>
      </c>
      <c r="E73" s="4" t="s">
        <v>21</v>
      </c>
      <c r="G73" s="1"/>
      <c r="H73" s="1"/>
      <c r="I73" s="1"/>
    </row>
    <row r="74" spans="2:10" x14ac:dyDescent="0.25">
      <c r="C74" s="18" t="s">
        <v>141</v>
      </c>
      <c r="D74" s="18">
        <f>D73*3024/4/1000</f>
        <v>173.25000000000003</v>
      </c>
      <c r="E74" s="79" t="s">
        <v>25</v>
      </c>
      <c r="G74" s="1"/>
      <c r="H74" s="1"/>
      <c r="I74" s="1"/>
    </row>
    <row r="76" spans="2:10" x14ac:dyDescent="0.25">
      <c r="B76" s="32"/>
      <c r="D76" s="32"/>
      <c r="E76" s="79"/>
    </row>
    <row r="81" spans="2:5" x14ac:dyDescent="0.25">
      <c r="B81" s="32"/>
      <c r="D81" s="32"/>
      <c r="E81" s="79"/>
    </row>
  </sheetData>
  <mergeCells count="8">
    <mergeCell ref="B47:L47"/>
    <mergeCell ref="B60:L60"/>
    <mergeCell ref="B2:L2"/>
    <mergeCell ref="G4:H4"/>
    <mergeCell ref="K4:L4"/>
    <mergeCell ref="G12:H12"/>
    <mergeCell ref="B20:L20"/>
    <mergeCell ref="B33:L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opLeftCell="A9" workbookViewId="0">
      <selection activeCell="G31" sqref="G31"/>
    </sheetView>
  </sheetViews>
  <sheetFormatPr defaultRowHeight="15" x14ac:dyDescent="0.25"/>
  <cols>
    <col min="1" max="1" width="9.42578125" style="11" customWidth="1"/>
    <col min="2" max="2" width="30.5703125" style="11" bestFit="1" customWidth="1"/>
    <col min="3" max="3" width="10" style="11" customWidth="1"/>
    <col min="4" max="16" width="9.42578125" style="11" customWidth="1"/>
    <col min="17" max="16384" width="9.140625" style="11"/>
  </cols>
  <sheetData>
    <row r="2" spans="2:12" ht="15.75" thickBot="1" x14ac:dyDescent="0.3"/>
    <row r="3" spans="2:12" customFormat="1" ht="19.5" thickBot="1" x14ac:dyDescent="0.3">
      <c r="B3" s="212" t="s">
        <v>63</v>
      </c>
      <c r="C3" s="213"/>
      <c r="D3" s="213"/>
      <c r="E3" s="213"/>
      <c r="F3" s="213"/>
      <c r="G3" s="213"/>
      <c r="H3" s="213"/>
      <c r="I3" s="213"/>
      <c r="J3" s="213"/>
      <c r="K3" s="213"/>
      <c r="L3" s="214"/>
    </row>
    <row r="4" spans="2:12" customFormat="1" x14ac:dyDescent="0.25"/>
    <row r="5" spans="2:12" customFormat="1" x14ac:dyDescent="0.25">
      <c r="B5" s="12" t="s">
        <v>49</v>
      </c>
      <c r="C5" s="21" t="s">
        <v>66</v>
      </c>
      <c r="D5" s="21"/>
      <c r="E5" s="22"/>
      <c r="F5" s="23"/>
      <c r="G5" s="21"/>
      <c r="H5" s="21"/>
      <c r="I5" s="15"/>
      <c r="J5" s="15"/>
    </row>
    <row r="6" spans="2:12" customFormat="1" ht="15.75" thickBot="1" x14ac:dyDescent="0.3">
      <c r="B6" s="1"/>
      <c r="C6" s="1"/>
      <c r="D6" s="1"/>
      <c r="E6" s="15"/>
      <c r="F6" s="13"/>
      <c r="G6" s="14"/>
      <c r="H6" s="14"/>
      <c r="I6" s="15"/>
      <c r="J6" s="15"/>
    </row>
    <row r="7" spans="2:12" customFormat="1" ht="15.75" thickBot="1" x14ac:dyDescent="0.3">
      <c r="B7" s="220" t="s">
        <v>134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</row>
    <row r="8" spans="2:12" customFormat="1" x14ac:dyDescent="0.25">
      <c r="B8" s="1" t="s">
        <v>52</v>
      </c>
      <c r="C8" s="1"/>
      <c r="D8" s="20">
        <v>10</v>
      </c>
      <c r="E8" s="15" t="s">
        <v>53</v>
      </c>
      <c r="F8" s="13"/>
      <c r="G8" s="1"/>
      <c r="H8" s="1"/>
      <c r="I8" s="1"/>
      <c r="J8" s="15"/>
    </row>
    <row r="9" spans="2:12" customFormat="1" x14ac:dyDescent="0.25">
      <c r="B9" s="1"/>
      <c r="C9" s="1"/>
      <c r="D9" s="1"/>
      <c r="E9" s="15"/>
      <c r="F9" s="13"/>
      <c r="G9" s="1"/>
      <c r="H9" s="1"/>
      <c r="I9" s="1"/>
      <c r="J9" s="15"/>
    </row>
    <row r="10" spans="2:12" customFormat="1" x14ac:dyDescent="0.25">
      <c r="B10" s="1" t="s">
        <v>96</v>
      </c>
      <c r="C10" s="1"/>
      <c r="D10" s="1">
        <v>5</v>
      </c>
      <c r="E10" s="15" t="s">
        <v>53</v>
      </c>
      <c r="F10" s="13"/>
      <c r="G10" s="1"/>
      <c r="H10" s="1"/>
      <c r="I10" s="1"/>
      <c r="J10" s="15"/>
    </row>
    <row r="11" spans="2:12" customFormat="1" x14ac:dyDescent="0.25">
      <c r="B11" s="1" t="s">
        <v>56</v>
      </c>
      <c r="C11" s="1"/>
      <c r="D11" s="1">
        <v>9</v>
      </c>
      <c r="E11" s="15" t="s">
        <v>51</v>
      </c>
      <c r="F11" s="13"/>
      <c r="G11" s="1"/>
      <c r="H11" s="1"/>
      <c r="I11" s="1"/>
      <c r="J11" s="15"/>
    </row>
    <row r="12" spans="2:12" customFormat="1" x14ac:dyDescent="0.25">
      <c r="B12" s="26" t="s">
        <v>55</v>
      </c>
      <c r="C12" s="1"/>
      <c r="D12" s="26">
        <v>87</v>
      </c>
      <c r="E12" s="15" t="s">
        <v>51</v>
      </c>
      <c r="F12" s="13"/>
      <c r="G12" s="1"/>
      <c r="H12" s="1"/>
      <c r="I12" s="1"/>
      <c r="J12" s="15"/>
    </row>
    <row r="13" spans="2:12" customFormat="1" x14ac:dyDescent="0.25">
      <c r="B13" s="26" t="s">
        <v>57</v>
      </c>
      <c r="C13" s="1"/>
      <c r="D13" s="20">
        <f>(D10*D11%)/D12%</f>
        <v>0.51724137931034475</v>
      </c>
      <c r="E13" s="15" t="s">
        <v>53</v>
      </c>
      <c r="F13" s="13"/>
      <c r="G13" s="1"/>
      <c r="H13" s="1"/>
      <c r="I13" s="1"/>
      <c r="J13" s="15"/>
    </row>
    <row r="14" spans="2:12" customFormat="1" x14ac:dyDescent="0.25">
      <c r="B14" s="26" t="s">
        <v>58</v>
      </c>
      <c r="D14" s="27">
        <f>D10-D13</f>
        <v>4.4827586206896548</v>
      </c>
      <c r="E14" s="15" t="s">
        <v>53</v>
      </c>
      <c r="G14" s="1"/>
      <c r="H14" s="1"/>
      <c r="I14" s="1"/>
    </row>
    <row r="15" spans="2:12" customFormat="1" x14ac:dyDescent="0.25">
      <c r="B15" s="26" t="s">
        <v>59</v>
      </c>
      <c r="D15">
        <f>D14/3</f>
        <v>1.4942528735632183</v>
      </c>
      <c r="E15" s="15" t="s">
        <v>53</v>
      </c>
      <c r="G15" s="1"/>
      <c r="H15" s="1"/>
      <c r="I15" s="1"/>
    </row>
    <row r="16" spans="2:12" customFormat="1" x14ac:dyDescent="0.25">
      <c r="B16" s="26" t="s">
        <v>60</v>
      </c>
      <c r="D16" s="28">
        <f>D15*1000*540</f>
        <v>806896.55172413797</v>
      </c>
      <c r="E16" s="3" t="s">
        <v>30</v>
      </c>
      <c r="G16" s="1"/>
      <c r="H16" s="1"/>
      <c r="I16" s="1"/>
    </row>
    <row r="17" spans="2:12" customFormat="1" x14ac:dyDescent="0.25">
      <c r="D17" s="24">
        <f>D16/3024</f>
        <v>266.83087027914615</v>
      </c>
      <c r="E17" s="4" t="s">
        <v>21</v>
      </c>
      <c r="G17" s="1"/>
      <c r="H17" s="1"/>
      <c r="I17" s="1"/>
    </row>
    <row r="18" spans="2:12" x14ac:dyDescent="0.25">
      <c r="C18" s="18" t="s">
        <v>141</v>
      </c>
      <c r="D18" s="18">
        <f>D17*3024/4/1000</f>
        <v>201.72413793103451</v>
      </c>
      <c r="E18" s="79" t="s">
        <v>25</v>
      </c>
      <c r="I18" s="30"/>
    </row>
    <row r="19" spans="2:12" ht="15.75" thickBot="1" x14ac:dyDescent="0.3"/>
    <row r="20" spans="2:12" customFormat="1" ht="15.75" thickBot="1" x14ac:dyDescent="0.3">
      <c r="B20" s="220" t="s">
        <v>135</v>
      </c>
      <c r="C20" s="221"/>
      <c r="D20" s="221"/>
      <c r="E20" s="221"/>
      <c r="F20" s="221"/>
      <c r="G20" s="221"/>
      <c r="H20" s="221"/>
      <c r="I20" s="221"/>
      <c r="J20" s="221"/>
      <c r="K20" s="221"/>
      <c r="L20" s="222"/>
    </row>
    <row r="21" spans="2:12" customFormat="1" x14ac:dyDescent="0.25">
      <c r="B21" s="1" t="s">
        <v>52</v>
      </c>
      <c r="C21" s="1"/>
      <c r="D21" s="20">
        <v>10</v>
      </c>
      <c r="E21" s="15" t="s">
        <v>53</v>
      </c>
      <c r="F21" s="13"/>
      <c r="G21" s="1"/>
      <c r="H21" s="1"/>
      <c r="I21" s="1"/>
      <c r="J21" s="15"/>
    </row>
    <row r="22" spans="2:12" customFormat="1" x14ac:dyDescent="0.25">
      <c r="B22" s="1"/>
      <c r="C22" s="1"/>
      <c r="D22" s="1"/>
      <c r="E22" s="15"/>
      <c r="F22" s="13"/>
      <c r="G22" s="1"/>
      <c r="H22" s="1"/>
      <c r="I22" s="1"/>
      <c r="J22" s="15"/>
    </row>
    <row r="23" spans="2:12" customFormat="1" x14ac:dyDescent="0.25">
      <c r="B23" s="1" t="s">
        <v>96</v>
      </c>
      <c r="C23" s="1"/>
      <c r="D23" s="1">
        <v>5</v>
      </c>
      <c r="E23" s="15" t="s">
        <v>53</v>
      </c>
      <c r="F23" s="13"/>
      <c r="G23" s="1"/>
      <c r="H23" s="1"/>
      <c r="I23" s="1"/>
      <c r="J23" s="15"/>
    </row>
    <row r="24" spans="2:12" customFormat="1" x14ac:dyDescent="0.25">
      <c r="B24" s="1" t="s">
        <v>56</v>
      </c>
      <c r="C24" s="1"/>
      <c r="D24" s="1">
        <v>30</v>
      </c>
      <c r="E24" s="15" t="s">
        <v>51</v>
      </c>
      <c r="F24" s="13"/>
      <c r="G24" s="1"/>
      <c r="H24" s="1"/>
      <c r="I24" s="1"/>
      <c r="J24" s="15"/>
    </row>
    <row r="25" spans="2:12" customFormat="1" x14ac:dyDescent="0.25">
      <c r="B25" s="26" t="s">
        <v>55</v>
      </c>
      <c r="C25" s="1"/>
      <c r="D25" s="26">
        <v>89</v>
      </c>
      <c r="E25" s="15" t="s">
        <v>51</v>
      </c>
      <c r="F25" s="13"/>
      <c r="G25" s="1"/>
      <c r="H25" s="1"/>
      <c r="I25" s="1"/>
      <c r="J25" s="15"/>
    </row>
    <row r="26" spans="2:12" customFormat="1" x14ac:dyDescent="0.25">
      <c r="B26" s="26" t="s">
        <v>57</v>
      </c>
      <c r="C26" s="1"/>
      <c r="D26" s="20">
        <f>(D23*D24%)/D25%</f>
        <v>1.6853932584269662</v>
      </c>
      <c r="E26" s="15" t="s">
        <v>53</v>
      </c>
      <c r="F26" s="13"/>
      <c r="G26" s="1"/>
      <c r="H26" s="1"/>
      <c r="I26" s="1"/>
      <c r="J26" s="15"/>
    </row>
    <row r="27" spans="2:12" customFormat="1" x14ac:dyDescent="0.25">
      <c r="B27" s="26" t="s">
        <v>58</v>
      </c>
      <c r="D27" s="27">
        <f>D23-D26</f>
        <v>3.3146067415730336</v>
      </c>
      <c r="E27" s="15" t="s">
        <v>53</v>
      </c>
      <c r="G27" s="1"/>
      <c r="H27" s="1"/>
      <c r="I27" s="1"/>
    </row>
    <row r="28" spans="2:12" customFormat="1" x14ac:dyDescent="0.25">
      <c r="B28" s="26" t="s">
        <v>59</v>
      </c>
      <c r="D28">
        <f>D27/3</f>
        <v>1.1048689138576779</v>
      </c>
      <c r="E28" s="15" t="s">
        <v>53</v>
      </c>
      <c r="G28" s="1"/>
      <c r="H28" s="1"/>
      <c r="I28" s="1"/>
    </row>
    <row r="29" spans="2:12" customFormat="1" x14ac:dyDescent="0.25">
      <c r="B29" s="26" t="s">
        <v>60</v>
      </c>
      <c r="D29" s="28">
        <f>D28*1000*540</f>
        <v>596629.21348314604</v>
      </c>
      <c r="E29" s="3" t="s">
        <v>30</v>
      </c>
      <c r="G29" s="1"/>
      <c r="H29" s="1"/>
      <c r="I29" s="1"/>
    </row>
    <row r="30" spans="2:12" customFormat="1" x14ac:dyDescent="0.25">
      <c r="D30" s="24">
        <f>D29/3024</f>
        <v>197.2980203317282</v>
      </c>
      <c r="E30" s="4" t="s">
        <v>21</v>
      </c>
      <c r="G30" s="1"/>
      <c r="H30" s="1"/>
      <c r="I30" s="1"/>
    </row>
    <row r="31" spans="2:12" x14ac:dyDescent="0.25">
      <c r="C31" s="18" t="s">
        <v>141</v>
      </c>
      <c r="D31" s="18">
        <f>D30*3024/4/1000</f>
        <v>149.15730337078651</v>
      </c>
      <c r="E31" s="79" t="s">
        <v>25</v>
      </c>
    </row>
  </sheetData>
  <mergeCells count="3">
    <mergeCell ref="B3:L3"/>
    <mergeCell ref="B7:L7"/>
    <mergeCell ref="B20:L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E36"/>
  <sheetViews>
    <sheetView workbookViewId="0">
      <selection sqref="A1:XFD1048576"/>
    </sheetView>
  </sheetViews>
  <sheetFormatPr defaultRowHeight="15.75" x14ac:dyDescent="0.25"/>
  <cols>
    <col min="1" max="1" width="9.140625" style="85"/>
    <col min="2" max="2" width="20.140625" style="85" customWidth="1"/>
    <col min="3" max="5" width="20.7109375" style="85" customWidth="1"/>
    <col min="6" max="16384" width="9.140625" style="85"/>
  </cols>
  <sheetData>
    <row r="3" spans="2:5" x14ac:dyDescent="0.25">
      <c r="B3" s="224" t="s">
        <v>67</v>
      </c>
      <c r="C3" s="224"/>
      <c r="D3" s="224"/>
      <c r="E3" s="224"/>
    </row>
    <row r="5" spans="2:5" ht="16.5" thickBot="1" x14ac:dyDescent="0.3"/>
    <row r="6" spans="2:5" ht="16.5" thickBot="1" x14ac:dyDescent="0.3">
      <c r="B6" s="226" t="s">
        <v>75</v>
      </c>
      <c r="C6" s="227"/>
      <c r="D6" s="228"/>
      <c r="E6" s="229"/>
    </row>
    <row r="7" spans="2:5" ht="16.5" thickBot="1" x14ac:dyDescent="0.3">
      <c r="B7" s="86"/>
      <c r="C7" s="87" t="s">
        <v>148</v>
      </c>
      <c r="D7" s="88" t="s">
        <v>136</v>
      </c>
      <c r="E7" s="89" t="s">
        <v>145</v>
      </c>
    </row>
    <row r="8" spans="2:5" s="90" customFormat="1" ht="31.5" x14ac:dyDescent="0.25">
      <c r="B8" s="91" t="s">
        <v>68</v>
      </c>
      <c r="C8" s="92" t="s">
        <v>18</v>
      </c>
      <c r="D8" s="93" t="s">
        <v>77</v>
      </c>
      <c r="E8" s="92" t="s">
        <v>18</v>
      </c>
    </row>
    <row r="9" spans="2:5" x14ac:dyDescent="0.25">
      <c r="B9" s="94"/>
      <c r="C9" s="95" t="s">
        <v>21</v>
      </c>
      <c r="D9" s="86"/>
      <c r="E9" s="96"/>
    </row>
    <row r="10" spans="2:5" x14ac:dyDescent="0.25">
      <c r="B10" s="97" t="s">
        <v>4</v>
      </c>
      <c r="C10" s="98">
        <f>'Heat Load of Paharpur (PFAD)'!K15</f>
        <v>381.38227513227514</v>
      </c>
      <c r="D10" s="99">
        <f>C10*0.8</f>
        <v>305.1058201058201</v>
      </c>
      <c r="E10" s="100">
        <f>'Heat Load of Paharpur (CNO RMO)'!K15</f>
        <v>381.38227513227514</v>
      </c>
    </row>
    <row r="11" spans="2:5" x14ac:dyDescent="0.25">
      <c r="B11" s="97" t="s">
        <v>28</v>
      </c>
      <c r="C11" s="101">
        <f>'Heat Load of Paharpur (PFAD)'!D30</f>
        <v>104.92374414857146</v>
      </c>
      <c r="D11" s="102">
        <v>0</v>
      </c>
      <c r="E11" s="103">
        <v>0</v>
      </c>
    </row>
    <row r="12" spans="2:5" x14ac:dyDescent="0.25">
      <c r="B12" s="97" t="s">
        <v>69</v>
      </c>
      <c r="C12" s="98">
        <f>'Heat Load of Paharpur (PFAD)'!D44</f>
        <v>15.007495428571431</v>
      </c>
      <c r="D12" s="104">
        <f t="shared" ref="D12:D13" si="0">C12</f>
        <v>15.007495428571431</v>
      </c>
      <c r="E12" s="100">
        <f>'Heat Load of Paharpur (CNO RMO)'!D44</f>
        <v>15.007495428571431</v>
      </c>
    </row>
    <row r="13" spans="2:5" x14ac:dyDescent="0.25">
      <c r="B13" s="97" t="s">
        <v>70</v>
      </c>
      <c r="C13" s="98">
        <f>'Heat Load of Paharpur (PFAD)'!D57</f>
        <v>13.131558500000002</v>
      </c>
      <c r="D13" s="104">
        <f t="shared" si="0"/>
        <v>13.131558500000002</v>
      </c>
      <c r="E13" s="100">
        <f>'Heat Load of Paharpur (CNO RMO)'!D57</f>
        <v>13.131558500000002</v>
      </c>
    </row>
    <row r="14" spans="2:5" ht="16.5" thickBot="1" x14ac:dyDescent="0.3">
      <c r="B14" s="105" t="s">
        <v>71</v>
      </c>
      <c r="C14" s="106">
        <f>'Heat Load of Paharpur (PFAD)'!D73</f>
        <v>290.17857142857144</v>
      </c>
      <c r="D14" s="107">
        <f>C14*0.8</f>
        <v>232.14285714285717</v>
      </c>
      <c r="E14" s="108">
        <f>'Heat Load of Paharpur (CNO RMO)'!D73</f>
        <v>229.16666666666671</v>
      </c>
    </row>
    <row r="15" spans="2:5" ht="16.5" thickBot="1" x14ac:dyDescent="0.3">
      <c r="B15" s="109" t="s">
        <v>74</v>
      </c>
      <c r="C15" s="110">
        <f>SUM(C10:C14)</f>
        <v>804.62364463798951</v>
      </c>
      <c r="D15" s="111">
        <f>SUM(D10:D14)</f>
        <v>565.38773117724872</v>
      </c>
      <c r="E15" s="112">
        <f>SUM(E10:E14)</f>
        <v>638.68799572751323</v>
      </c>
    </row>
    <row r="16" spans="2:5" s="113" customFormat="1" ht="16.5" thickBot="1" x14ac:dyDescent="0.3">
      <c r="B16" s="114"/>
      <c r="C16" s="115"/>
      <c r="D16" s="115"/>
    </row>
    <row r="17" spans="2:5" ht="16.5" thickBot="1" x14ac:dyDescent="0.3">
      <c r="B17" s="226" t="s">
        <v>76</v>
      </c>
      <c r="C17" s="228"/>
      <c r="D17" s="228"/>
      <c r="E17" s="229"/>
    </row>
    <row r="18" spans="2:5" ht="16.5" thickBot="1" x14ac:dyDescent="0.3">
      <c r="B18" s="116"/>
      <c r="C18" s="87" t="s">
        <v>148</v>
      </c>
      <c r="D18" s="117" t="s">
        <v>136</v>
      </c>
      <c r="E18" s="89" t="s">
        <v>145</v>
      </c>
    </row>
    <row r="19" spans="2:5" s="90" customFormat="1" ht="32.25" thickBot="1" x14ac:dyDescent="0.3">
      <c r="B19" s="118" t="s">
        <v>68</v>
      </c>
      <c r="C19" s="118" t="s">
        <v>18</v>
      </c>
      <c r="D19" s="119" t="s">
        <v>77</v>
      </c>
      <c r="E19" s="118" t="s">
        <v>18</v>
      </c>
    </row>
    <row r="20" spans="2:5" ht="16.5" thickBot="1" x14ac:dyDescent="0.3">
      <c r="B20" s="109" t="s">
        <v>73</v>
      </c>
      <c r="C20" s="110">
        <f>'Heat Load of Alphalaval'!D17</f>
        <v>266.83087027914615</v>
      </c>
      <c r="D20" s="120">
        <f>C20*0.8</f>
        <v>213.46469622331693</v>
      </c>
      <c r="E20" s="110">
        <f>'Heat Load of Alphalaval'!D30</f>
        <v>197.2980203317282</v>
      </c>
    </row>
    <row r="21" spans="2:5" ht="16.5" thickBot="1" x14ac:dyDescent="0.3">
      <c r="B21" s="90"/>
      <c r="C21" s="121"/>
      <c r="D21" s="122"/>
    </row>
    <row r="22" spans="2:5" ht="16.5" thickBot="1" x14ac:dyDescent="0.3">
      <c r="B22" s="123" t="s">
        <v>79</v>
      </c>
      <c r="C22" s="124" t="s">
        <v>21</v>
      </c>
      <c r="D22" s="125">
        <f>D15+D20</f>
        <v>778.8524274005656</v>
      </c>
      <c r="E22" s="126">
        <f>E15+E20</f>
        <v>835.98601605924136</v>
      </c>
    </row>
    <row r="23" spans="2:5" ht="16.5" thickBot="1" x14ac:dyDescent="0.3">
      <c r="D23" s="122"/>
    </row>
    <row r="24" spans="2:5" ht="16.5" thickBot="1" x14ac:dyDescent="0.3">
      <c r="B24" s="127" t="s">
        <v>72</v>
      </c>
      <c r="C24" s="128" t="s">
        <v>21</v>
      </c>
      <c r="D24" s="129">
        <v>860</v>
      </c>
    </row>
    <row r="28" spans="2:5" x14ac:dyDescent="0.25">
      <c r="B28" s="225" t="s">
        <v>78</v>
      </c>
      <c r="C28" s="225"/>
      <c r="D28" s="225"/>
    </row>
    <row r="29" spans="2:5" x14ac:dyDescent="0.25">
      <c r="B29" s="225"/>
      <c r="C29" s="225"/>
      <c r="D29" s="225"/>
    </row>
    <row r="30" spans="2:5" x14ac:dyDescent="0.25">
      <c r="B30" s="225"/>
      <c r="C30" s="225"/>
      <c r="D30" s="225"/>
    </row>
    <row r="31" spans="2:5" x14ac:dyDescent="0.25">
      <c r="B31" s="225"/>
      <c r="C31" s="225"/>
      <c r="D31" s="225"/>
    </row>
    <row r="33" spans="2:4" x14ac:dyDescent="0.25">
      <c r="B33" s="223" t="s">
        <v>146</v>
      </c>
      <c r="C33" s="223"/>
      <c r="D33" s="223"/>
    </row>
    <row r="34" spans="2:4" x14ac:dyDescent="0.25">
      <c r="B34" s="223"/>
      <c r="C34" s="223"/>
      <c r="D34" s="223"/>
    </row>
    <row r="35" spans="2:4" x14ac:dyDescent="0.25">
      <c r="B35" s="223"/>
      <c r="C35" s="223"/>
      <c r="D35" s="223"/>
    </row>
    <row r="36" spans="2:4" x14ac:dyDescent="0.25">
      <c r="B36" s="223"/>
      <c r="C36" s="223"/>
      <c r="D36" s="223"/>
    </row>
  </sheetData>
  <mergeCells count="5">
    <mergeCell ref="B33:D36"/>
    <mergeCell ref="B3:E3"/>
    <mergeCell ref="B28:D31"/>
    <mergeCell ref="B6:E6"/>
    <mergeCell ref="B17:E17"/>
  </mergeCells>
  <pageMargins left="0.7" right="0.7" top="0.75" bottom="0.75" header="0.3" footer="0.3"/>
  <pageSetup scale="98" orientation="portrait" verticalDpi="0" r:id="rId1"/>
  <ignoredErrors>
    <ignoredError sqref="E10 E12:E14 E2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4"/>
  <sheetViews>
    <sheetView workbookViewId="0">
      <selection activeCell="H20" sqref="H20"/>
    </sheetView>
  </sheetViews>
  <sheetFormatPr defaultRowHeight="15" x14ac:dyDescent="0.25"/>
  <cols>
    <col min="3" max="3" width="34.5703125" bestFit="1" customWidth="1"/>
    <col min="4" max="4" width="9.5703125" bestFit="1" customWidth="1"/>
  </cols>
  <sheetData>
    <row r="3" spans="3:8" ht="15.75" thickBot="1" x14ac:dyDescent="0.3"/>
    <row r="4" spans="3:8" ht="15.75" thickBot="1" x14ac:dyDescent="0.3">
      <c r="C4" s="230" t="s">
        <v>85</v>
      </c>
      <c r="D4" s="231"/>
      <c r="E4" s="232"/>
    </row>
    <row r="5" spans="3:8" x14ac:dyDescent="0.25">
      <c r="C5" s="62" t="s">
        <v>80</v>
      </c>
      <c r="D5" s="63">
        <v>18.5</v>
      </c>
      <c r="E5" s="69" t="s">
        <v>81</v>
      </c>
    </row>
    <row r="6" spans="3:8" x14ac:dyDescent="0.25">
      <c r="C6" s="34" t="s">
        <v>84</v>
      </c>
      <c r="D6" s="6">
        <f>D5*0.9</f>
        <v>16.650000000000002</v>
      </c>
      <c r="E6" s="65" t="s">
        <v>81</v>
      </c>
    </row>
    <row r="7" spans="3:8" x14ac:dyDescent="0.25">
      <c r="C7" s="34" t="s">
        <v>82</v>
      </c>
      <c r="D7" s="6">
        <v>75</v>
      </c>
      <c r="E7" s="65" t="s">
        <v>81</v>
      </c>
    </row>
    <row r="8" spans="3:8" x14ac:dyDescent="0.25">
      <c r="C8" s="34" t="s">
        <v>83</v>
      </c>
      <c r="D8" s="6">
        <f>D7*0.7</f>
        <v>52.5</v>
      </c>
      <c r="E8" s="65" t="s">
        <v>81</v>
      </c>
      <c r="G8" s="61"/>
      <c r="H8" s="61"/>
    </row>
    <row r="9" spans="3:8" x14ac:dyDescent="0.25">
      <c r="C9" s="34" t="s">
        <v>86</v>
      </c>
      <c r="D9" s="6">
        <f>D6+D8</f>
        <v>69.150000000000006</v>
      </c>
      <c r="E9" s="65" t="s">
        <v>87</v>
      </c>
    </row>
    <row r="10" spans="3:8" x14ac:dyDescent="0.25">
      <c r="C10" s="34" t="s">
        <v>88</v>
      </c>
      <c r="D10" s="37">
        <v>80</v>
      </c>
      <c r="E10" s="65" t="s">
        <v>89</v>
      </c>
    </row>
    <row r="11" spans="3:8" x14ac:dyDescent="0.25">
      <c r="C11" s="34" t="s">
        <v>90</v>
      </c>
      <c r="D11" s="6">
        <v>5</v>
      </c>
      <c r="E11" s="65" t="s">
        <v>91</v>
      </c>
    </row>
    <row r="12" spans="3:8" x14ac:dyDescent="0.25">
      <c r="C12" s="34" t="s">
        <v>93</v>
      </c>
      <c r="D12" s="6">
        <f>D9*24*D10*D11</f>
        <v>663840</v>
      </c>
      <c r="E12" s="65" t="s">
        <v>92</v>
      </c>
    </row>
    <row r="13" spans="3:8" ht="15.75" thickBot="1" x14ac:dyDescent="0.3">
      <c r="C13" s="64"/>
      <c r="D13" s="77">
        <f>D12/10^5</f>
        <v>6.6383999999999999</v>
      </c>
      <c r="E13" s="78" t="s">
        <v>94</v>
      </c>
    </row>
    <row r="14" spans="3:8" ht="15.75" thickBot="1" x14ac:dyDescent="0.3"/>
    <row r="15" spans="3:8" ht="15.75" thickBot="1" x14ac:dyDescent="0.3">
      <c r="C15" s="230" t="s">
        <v>137</v>
      </c>
      <c r="D15" s="231"/>
      <c r="E15" s="232"/>
    </row>
    <row r="16" spans="3:8" x14ac:dyDescent="0.25">
      <c r="C16" s="66" t="s">
        <v>95</v>
      </c>
      <c r="D16" s="67">
        <f>0.8*300</f>
        <v>240</v>
      </c>
      <c r="E16" s="68" t="s">
        <v>44</v>
      </c>
    </row>
    <row r="17" spans="3:5" x14ac:dyDescent="0.25">
      <c r="C17" s="34" t="s">
        <v>98</v>
      </c>
      <c r="D17" s="6">
        <f>0.02*D16/100</f>
        <v>4.8000000000000001E-2</v>
      </c>
      <c r="E17" s="65" t="s">
        <v>44</v>
      </c>
    </row>
    <row r="18" spans="3:5" x14ac:dyDescent="0.25">
      <c r="C18" s="34" t="s">
        <v>99</v>
      </c>
      <c r="D18" s="6">
        <f>D17*24*D10</f>
        <v>92.160000000000011</v>
      </c>
      <c r="E18" s="65" t="s">
        <v>97</v>
      </c>
    </row>
    <row r="19" spans="3:5" x14ac:dyDescent="0.25">
      <c r="C19" s="34" t="s">
        <v>93</v>
      </c>
      <c r="D19" s="6">
        <f>D18*36</f>
        <v>3317.76</v>
      </c>
      <c r="E19" s="65" t="s">
        <v>92</v>
      </c>
    </row>
    <row r="20" spans="3:5" ht="15.75" thickBot="1" x14ac:dyDescent="0.3">
      <c r="C20" s="64"/>
      <c r="D20" s="77">
        <f>D19/10^5</f>
        <v>3.3177600000000002E-2</v>
      </c>
      <c r="E20" s="78" t="s">
        <v>94</v>
      </c>
    </row>
    <row r="21" spans="3:5" ht="15.75" thickBot="1" x14ac:dyDescent="0.3">
      <c r="C21" s="11"/>
      <c r="D21" s="11"/>
      <c r="E21" s="11"/>
    </row>
    <row r="22" spans="3:5" x14ac:dyDescent="0.25">
      <c r="C22" s="73" t="s">
        <v>138</v>
      </c>
      <c r="D22" s="74" t="s">
        <v>94</v>
      </c>
      <c r="E22" s="70">
        <f>D13+D20</f>
        <v>6.6715776</v>
      </c>
    </row>
    <row r="23" spans="3:5" x14ac:dyDescent="0.25">
      <c r="C23" s="75" t="s">
        <v>139</v>
      </c>
      <c r="D23" s="7" t="s">
        <v>94</v>
      </c>
      <c r="E23" s="71">
        <f>Costing!G31/100000</f>
        <v>1.1821425000000001</v>
      </c>
    </row>
    <row r="24" spans="3:5" ht="15.75" thickBot="1" x14ac:dyDescent="0.3">
      <c r="C24" s="35" t="s">
        <v>140</v>
      </c>
      <c r="D24" s="76" t="s">
        <v>150</v>
      </c>
      <c r="E24" s="72">
        <f>E23*12/E22</f>
        <v>2.1262901895947368</v>
      </c>
    </row>
  </sheetData>
  <mergeCells count="2">
    <mergeCell ref="C4:E4"/>
    <mergeCell ref="C15:E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31"/>
  <sheetViews>
    <sheetView workbookViewId="0">
      <selection activeCell="J22" sqref="J22"/>
    </sheetView>
  </sheetViews>
  <sheetFormatPr defaultRowHeight="15" x14ac:dyDescent="0.25"/>
  <cols>
    <col min="2" max="2" width="6.140625" bestFit="1" customWidth="1"/>
    <col min="3" max="3" width="35" bestFit="1" customWidth="1"/>
    <col min="4" max="4" width="10.7109375" customWidth="1"/>
    <col min="6" max="6" width="9.85546875" customWidth="1"/>
    <col min="7" max="7" width="12.85546875" customWidth="1"/>
    <col min="8" max="8" width="11.140625" customWidth="1"/>
    <col min="9" max="9" width="12.85546875" customWidth="1"/>
    <col min="10" max="10" width="14.5703125" customWidth="1"/>
  </cols>
  <sheetData>
    <row r="3" spans="2:10" ht="15.75" thickBot="1" x14ac:dyDescent="0.3"/>
    <row r="4" spans="2:10" ht="15.75" thickBot="1" x14ac:dyDescent="0.3">
      <c r="B4" s="233" t="s">
        <v>101</v>
      </c>
      <c r="C4" s="234"/>
      <c r="D4" s="234"/>
      <c r="E4" s="234"/>
      <c r="F4" s="234"/>
      <c r="G4" s="234"/>
      <c r="H4" s="234"/>
      <c r="I4" s="234"/>
      <c r="J4" s="235"/>
    </row>
    <row r="5" spans="2:10" ht="64.5" customHeight="1" x14ac:dyDescent="0.25">
      <c r="B5" s="49" t="s">
        <v>102</v>
      </c>
      <c r="C5" s="49" t="s">
        <v>116</v>
      </c>
      <c r="D5" s="49" t="s">
        <v>103</v>
      </c>
      <c r="E5" s="49" t="s">
        <v>104</v>
      </c>
      <c r="F5" s="49" t="s">
        <v>105</v>
      </c>
      <c r="G5" s="50" t="s">
        <v>132</v>
      </c>
      <c r="H5" s="50" t="s">
        <v>118</v>
      </c>
      <c r="I5" s="49" t="s">
        <v>104</v>
      </c>
      <c r="J5" s="51" t="s">
        <v>133</v>
      </c>
    </row>
    <row r="6" spans="2:10" x14ac:dyDescent="0.25">
      <c r="B6" s="6">
        <v>1</v>
      </c>
      <c r="C6" s="6" t="s">
        <v>152</v>
      </c>
      <c r="D6" s="53">
        <v>18</v>
      </c>
      <c r="E6" s="39" t="s">
        <v>115</v>
      </c>
      <c r="F6" s="54">
        <v>2600</v>
      </c>
      <c r="G6" s="55">
        <f t="shared" ref="G6:G12" si="0">D6*F6</f>
        <v>46800</v>
      </c>
      <c r="H6" s="55">
        <v>18</v>
      </c>
      <c r="I6" s="55" t="s">
        <v>115</v>
      </c>
      <c r="J6" s="56">
        <f t="shared" ref="J6:J12" si="1">(D6-H6)*F6</f>
        <v>0</v>
      </c>
    </row>
    <row r="7" spans="2:10" x14ac:dyDescent="0.25">
      <c r="B7" s="6">
        <v>2</v>
      </c>
      <c r="C7" s="6" t="s">
        <v>117</v>
      </c>
      <c r="D7" s="53">
        <v>2</v>
      </c>
      <c r="E7" s="39" t="s">
        <v>106</v>
      </c>
      <c r="F7" s="54">
        <v>2250</v>
      </c>
      <c r="G7" s="55">
        <f t="shared" si="0"/>
        <v>4500</v>
      </c>
      <c r="H7" s="55">
        <v>2</v>
      </c>
      <c r="I7" s="54" t="s">
        <v>106</v>
      </c>
      <c r="J7" s="56">
        <f t="shared" si="1"/>
        <v>0</v>
      </c>
    </row>
    <row r="8" spans="2:10" x14ac:dyDescent="0.25">
      <c r="B8" s="6">
        <v>3</v>
      </c>
      <c r="C8" s="6" t="s">
        <v>121</v>
      </c>
      <c r="D8" s="53">
        <v>6</v>
      </c>
      <c r="E8" s="39" t="s">
        <v>106</v>
      </c>
      <c r="F8" s="54">
        <v>1300</v>
      </c>
      <c r="G8" s="55">
        <f t="shared" si="0"/>
        <v>7800</v>
      </c>
      <c r="H8" s="55">
        <v>6</v>
      </c>
      <c r="I8" s="54" t="s">
        <v>106</v>
      </c>
      <c r="J8" s="56">
        <f t="shared" si="1"/>
        <v>0</v>
      </c>
    </row>
    <row r="9" spans="2:10" x14ac:dyDescent="0.25">
      <c r="B9" s="6">
        <v>4</v>
      </c>
      <c r="C9" s="40" t="s">
        <v>119</v>
      </c>
      <c r="D9" s="53">
        <v>2</v>
      </c>
      <c r="E9" s="39" t="s">
        <v>106</v>
      </c>
      <c r="F9" s="54">
        <v>2200</v>
      </c>
      <c r="G9" s="55">
        <f t="shared" si="0"/>
        <v>4400</v>
      </c>
      <c r="H9" s="55">
        <v>0</v>
      </c>
      <c r="I9" s="54" t="s">
        <v>106</v>
      </c>
      <c r="J9" s="56">
        <f t="shared" si="1"/>
        <v>4400</v>
      </c>
    </row>
    <row r="10" spans="2:10" x14ac:dyDescent="0.25">
      <c r="B10" s="6">
        <v>5</v>
      </c>
      <c r="C10" s="40" t="s">
        <v>151</v>
      </c>
      <c r="D10" s="53">
        <v>1</v>
      </c>
      <c r="E10" s="39" t="s">
        <v>106</v>
      </c>
      <c r="F10" s="54">
        <v>16000</v>
      </c>
      <c r="G10" s="55">
        <f t="shared" si="0"/>
        <v>16000</v>
      </c>
      <c r="H10" s="55">
        <v>0</v>
      </c>
      <c r="I10" s="54" t="s">
        <v>106</v>
      </c>
      <c r="J10" s="57">
        <f t="shared" si="1"/>
        <v>16000</v>
      </c>
    </row>
    <row r="11" spans="2:10" x14ac:dyDescent="0.25">
      <c r="B11" s="6">
        <v>7</v>
      </c>
      <c r="C11" s="40" t="s">
        <v>120</v>
      </c>
      <c r="D11" s="53">
        <v>2</v>
      </c>
      <c r="E11" s="39" t="s">
        <v>106</v>
      </c>
      <c r="F11" s="54">
        <v>42</v>
      </c>
      <c r="G11" s="55">
        <f t="shared" si="0"/>
        <v>84</v>
      </c>
      <c r="H11" s="55">
        <v>2</v>
      </c>
      <c r="I11" s="54" t="s">
        <v>106</v>
      </c>
      <c r="J11" s="57">
        <f t="shared" si="1"/>
        <v>0</v>
      </c>
    </row>
    <row r="12" spans="2:10" x14ac:dyDescent="0.25">
      <c r="B12" s="6">
        <v>8</v>
      </c>
      <c r="C12" s="40" t="s">
        <v>123</v>
      </c>
      <c r="D12" s="53">
        <v>1</v>
      </c>
      <c r="E12" s="39" t="s">
        <v>107</v>
      </c>
      <c r="F12" s="54">
        <v>5000</v>
      </c>
      <c r="G12" s="55">
        <f t="shared" si="0"/>
        <v>5000</v>
      </c>
      <c r="H12" s="55">
        <v>0</v>
      </c>
      <c r="I12" s="54" t="s">
        <v>107</v>
      </c>
      <c r="J12" s="57">
        <f t="shared" si="1"/>
        <v>5000</v>
      </c>
    </row>
    <row r="13" spans="2:10" x14ac:dyDescent="0.25">
      <c r="B13" s="6"/>
      <c r="C13" s="80" t="s">
        <v>74</v>
      </c>
      <c r="D13" s="240"/>
      <c r="E13" s="241"/>
      <c r="F13" s="241"/>
      <c r="G13" s="241"/>
      <c r="H13" s="241"/>
      <c r="I13" s="242"/>
      <c r="J13" s="56">
        <f>SUM(J6:J12)</f>
        <v>25400</v>
      </c>
    </row>
    <row r="14" spans="2:10" x14ac:dyDescent="0.25">
      <c r="B14" s="6"/>
      <c r="C14" s="43" t="s">
        <v>108</v>
      </c>
      <c r="D14" s="240"/>
      <c r="E14" s="241"/>
      <c r="F14" s="241"/>
      <c r="G14" s="241"/>
      <c r="H14" s="241"/>
      <c r="I14" s="242"/>
      <c r="J14" s="54">
        <f>J13*0.145</f>
        <v>3682.9999999999995</v>
      </c>
    </row>
    <row r="15" spans="2:10" x14ac:dyDescent="0.25">
      <c r="B15" s="6"/>
      <c r="C15" s="43" t="s">
        <v>109</v>
      </c>
      <c r="D15" s="243"/>
      <c r="E15" s="244"/>
      <c r="F15" s="244"/>
      <c r="G15" s="244"/>
      <c r="H15" s="244"/>
      <c r="I15" s="245"/>
      <c r="J15" s="58">
        <f>SUM(J13:J14)</f>
        <v>29083</v>
      </c>
    </row>
    <row r="16" spans="2:10" x14ac:dyDescent="0.25">
      <c r="B16" s="11"/>
      <c r="C16" s="81"/>
      <c r="D16" s="82"/>
      <c r="E16" s="82"/>
      <c r="F16" s="82"/>
      <c r="G16" s="82"/>
      <c r="H16" s="82"/>
      <c r="I16" s="82"/>
      <c r="J16" s="83"/>
    </row>
    <row r="18" spans="2:9" x14ac:dyDescent="0.25">
      <c r="B18" s="236" t="s">
        <v>110</v>
      </c>
      <c r="C18" s="237"/>
      <c r="D18" s="237"/>
      <c r="E18" s="237"/>
      <c r="F18" s="237"/>
      <c r="G18" s="238"/>
      <c r="H18" s="46"/>
      <c r="I18" s="46"/>
    </row>
    <row r="19" spans="2:9" x14ac:dyDescent="0.25">
      <c r="B19" s="38" t="s">
        <v>102</v>
      </c>
      <c r="C19" s="38" t="s">
        <v>116</v>
      </c>
      <c r="D19" s="38" t="s">
        <v>103</v>
      </c>
      <c r="E19" s="38" t="s">
        <v>104</v>
      </c>
      <c r="F19" s="38" t="s">
        <v>105</v>
      </c>
      <c r="G19" s="38" t="s">
        <v>131</v>
      </c>
      <c r="H19" s="46"/>
      <c r="I19" s="46"/>
    </row>
    <row r="20" spans="2:9" x14ac:dyDescent="0.25">
      <c r="B20" s="6"/>
      <c r="C20" s="6"/>
      <c r="D20" s="6"/>
      <c r="E20" s="6"/>
      <c r="F20" s="6"/>
      <c r="G20" s="6"/>
      <c r="H20" s="11"/>
      <c r="I20" s="11"/>
    </row>
    <row r="21" spans="2:9" x14ac:dyDescent="0.25">
      <c r="B21" s="6">
        <v>1</v>
      </c>
      <c r="C21" s="6" t="s">
        <v>122</v>
      </c>
      <c r="D21" s="53">
        <v>60</v>
      </c>
      <c r="E21" s="39" t="s">
        <v>111</v>
      </c>
      <c r="F21" s="54">
        <v>126</v>
      </c>
      <c r="G21" s="55">
        <f t="shared" ref="G21:G26" si="2">D21*F21</f>
        <v>7560</v>
      </c>
      <c r="H21" s="47"/>
      <c r="I21" s="47"/>
    </row>
    <row r="22" spans="2:9" x14ac:dyDescent="0.25">
      <c r="B22" s="6">
        <v>2</v>
      </c>
      <c r="C22" s="6" t="s">
        <v>124</v>
      </c>
      <c r="D22" s="53">
        <v>180</v>
      </c>
      <c r="E22" s="39" t="s">
        <v>125</v>
      </c>
      <c r="F22" s="54">
        <v>210</v>
      </c>
      <c r="G22" s="55">
        <f t="shared" si="2"/>
        <v>37800</v>
      </c>
      <c r="H22" s="47"/>
      <c r="I22" s="47"/>
    </row>
    <row r="23" spans="2:9" x14ac:dyDescent="0.25">
      <c r="B23" s="6">
        <v>3</v>
      </c>
      <c r="C23" s="6" t="s">
        <v>126</v>
      </c>
      <c r="D23" s="53">
        <v>1</v>
      </c>
      <c r="E23" s="39" t="s">
        <v>127</v>
      </c>
      <c r="F23" s="54">
        <v>8925</v>
      </c>
      <c r="G23" s="54">
        <f t="shared" si="2"/>
        <v>8925</v>
      </c>
      <c r="H23" s="11"/>
      <c r="I23" s="11"/>
    </row>
    <row r="24" spans="2:9" x14ac:dyDescent="0.25">
      <c r="B24" s="6">
        <v>4</v>
      </c>
      <c r="C24" s="40" t="s">
        <v>128</v>
      </c>
      <c r="D24" s="53">
        <v>10</v>
      </c>
      <c r="E24" s="41" t="s">
        <v>111</v>
      </c>
      <c r="F24" s="54">
        <v>126</v>
      </c>
      <c r="G24" s="54">
        <f t="shared" si="2"/>
        <v>1260</v>
      </c>
      <c r="H24" s="11"/>
      <c r="I24" s="11"/>
    </row>
    <row r="25" spans="2:9" x14ac:dyDescent="0.25">
      <c r="B25" s="6">
        <v>5</v>
      </c>
      <c r="C25" s="40" t="s">
        <v>112</v>
      </c>
      <c r="D25" s="53">
        <f>D22</f>
        <v>180</v>
      </c>
      <c r="E25" s="41" t="s">
        <v>111</v>
      </c>
      <c r="F25" s="54">
        <v>32</v>
      </c>
      <c r="G25" s="54">
        <f t="shared" si="2"/>
        <v>5760</v>
      </c>
      <c r="H25" s="11"/>
      <c r="I25" s="11"/>
    </row>
    <row r="26" spans="2:9" x14ac:dyDescent="0.25">
      <c r="B26" s="42">
        <v>6</v>
      </c>
      <c r="C26" s="42" t="s">
        <v>129</v>
      </c>
      <c r="D26" s="53">
        <v>1</v>
      </c>
      <c r="E26" s="44" t="s">
        <v>130</v>
      </c>
      <c r="F26" s="59">
        <v>10000</v>
      </c>
      <c r="G26" s="59">
        <f t="shared" si="2"/>
        <v>10000</v>
      </c>
      <c r="H26" s="11"/>
      <c r="I26" s="11"/>
    </row>
    <row r="27" spans="2:9" x14ac:dyDescent="0.25">
      <c r="B27" s="6"/>
      <c r="C27" s="40" t="s">
        <v>74</v>
      </c>
      <c r="D27" s="54"/>
      <c r="E27" s="54"/>
      <c r="F27" s="54"/>
      <c r="G27" s="55">
        <f>SUM(G21:G26)</f>
        <v>71305</v>
      </c>
      <c r="H27" s="47"/>
      <c r="I27" s="47"/>
    </row>
    <row r="28" spans="2:9" x14ac:dyDescent="0.25">
      <c r="B28" s="6"/>
      <c r="C28" s="43" t="s">
        <v>113</v>
      </c>
      <c r="D28" s="54"/>
      <c r="E28" s="54"/>
      <c r="F28" s="54"/>
      <c r="G28" s="55">
        <f>G27*0.25</f>
        <v>17826.25</v>
      </c>
      <c r="H28" s="47"/>
      <c r="I28" s="47"/>
    </row>
    <row r="29" spans="2:9" x14ac:dyDescent="0.25">
      <c r="B29" s="6"/>
      <c r="C29" s="43" t="s">
        <v>109</v>
      </c>
      <c r="D29" s="54"/>
      <c r="E29" s="54"/>
      <c r="F29" s="54"/>
      <c r="G29" s="60">
        <f>SUM(G27:G28)</f>
        <v>89131.25</v>
      </c>
      <c r="H29" s="48"/>
      <c r="I29" s="48"/>
    </row>
    <row r="31" spans="2:9" x14ac:dyDescent="0.25">
      <c r="B31" s="239" t="s">
        <v>114</v>
      </c>
      <c r="C31" s="239"/>
      <c r="D31" s="239"/>
      <c r="E31" s="239"/>
      <c r="F31" s="239"/>
      <c r="G31" s="45">
        <f>G29+J15</f>
        <v>118214.25</v>
      </c>
      <c r="H31" s="52"/>
      <c r="I31" s="52"/>
    </row>
  </sheetData>
  <mergeCells count="6">
    <mergeCell ref="B4:J4"/>
    <mergeCell ref="B18:G18"/>
    <mergeCell ref="B31:F31"/>
    <mergeCell ref="D13:I13"/>
    <mergeCell ref="D14:I14"/>
    <mergeCell ref="D15:I15"/>
  </mergeCells>
  <pageMargins left="0.7" right="0.7" top="0.75" bottom="0.75" header="0.3" footer="0.3"/>
  <pageSetup scale="9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Indirect cooling tower</vt:lpstr>
      <vt:lpstr>Paharpur CT</vt:lpstr>
      <vt:lpstr>Alpha Laval CT</vt:lpstr>
      <vt:lpstr>Heat Load of Paharpur (PFAD)</vt:lpstr>
      <vt:lpstr>Heat Load of Paharpur (CNO RMO)</vt:lpstr>
      <vt:lpstr>Heat Load of Alphalaval</vt:lpstr>
      <vt:lpstr>Summary</vt:lpstr>
      <vt:lpstr>Saving</vt:lpstr>
      <vt:lpstr>Costing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2017-04-12T05:07:37Z</dcterms:modified>
</cp:coreProperties>
</file>