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 activeTab="1"/>
  </bookViews>
  <sheets>
    <sheet name="Packing" sheetId="1" r:id="rId1"/>
    <sheet name="Packing-2" sheetId="3" r:id="rId2"/>
    <sheet name="Coal" sheetId="4" r:id="rId3"/>
    <sheet name="Petcoke" sheetId="5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C59" i="5" l="1"/>
  <c r="C57" i="5"/>
  <c r="C55" i="5"/>
  <c r="C53" i="5"/>
  <c r="G40" i="5"/>
  <c r="F40" i="5"/>
  <c r="H40" i="5" s="1"/>
  <c r="G39" i="5"/>
  <c r="F39" i="5"/>
  <c r="G38" i="5"/>
  <c r="G37" i="5"/>
  <c r="D37" i="5"/>
  <c r="G36" i="5"/>
  <c r="D36" i="5"/>
  <c r="G35" i="5"/>
  <c r="D35" i="5"/>
  <c r="F38" i="5" s="1"/>
  <c r="H38" i="5" s="1"/>
  <c r="G34" i="5"/>
  <c r="D34" i="5"/>
  <c r="F37" i="5" s="1"/>
  <c r="G33" i="5"/>
  <c r="D33" i="5"/>
  <c r="F36" i="5" s="1"/>
  <c r="H36" i="5" s="1"/>
  <c r="G32" i="5"/>
  <c r="D32" i="5"/>
  <c r="F35" i="5" s="1"/>
  <c r="G31" i="5"/>
  <c r="D31" i="5"/>
  <c r="F34" i="5" s="1"/>
  <c r="H34" i="5" s="1"/>
  <c r="G30" i="5"/>
  <c r="D30" i="5"/>
  <c r="F33" i="5" s="1"/>
  <c r="G29" i="5"/>
  <c r="D29" i="5"/>
  <c r="F32" i="5" s="1"/>
  <c r="H32" i="5" s="1"/>
  <c r="G28" i="5"/>
  <c r="D28" i="5"/>
  <c r="F31" i="5" s="1"/>
  <c r="G27" i="5"/>
  <c r="D27" i="5"/>
  <c r="F30" i="5" s="1"/>
  <c r="H30" i="5" s="1"/>
  <c r="G26" i="5"/>
  <c r="D26" i="5"/>
  <c r="F29" i="5" s="1"/>
  <c r="G25" i="5"/>
  <c r="D25" i="5"/>
  <c r="F28" i="5" s="1"/>
  <c r="H28" i="5" s="1"/>
  <c r="G24" i="5"/>
  <c r="D24" i="5"/>
  <c r="F27" i="5" s="1"/>
  <c r="G23" i="5"/>
  <c r="D23" i="5"/>
  <c r="F26" i="5" s="1"/>
  <c r="H26" i="5" s="1"/>
  <c r="G22" i="5"/>
  <c r="D22" i="5"/>
  <c r="F25" i="5" s="1"/>
  <c r="G21" i="5"/>
  <c r="D21" i="5"/>
  <c r="F24" i="5" s="1"/>
  <c r="H24" i="5" s="1"/>
  <c r="G20" i="5"/>
  <c r="D20" i="5"/>
  <c r="F23" i="5" s="1"/>
  <c r="G19" i="5"/>
  <c r="D19" i="5"/>
  <c r="F22" i="5" s="1"/>
  <c r="H22" i="5" s="1"/>
  <c r="G18" i="5"/>
  <c r="D18" i="5"/>
  <c r="F21" i="5" s="1"/>
  <c r="G17" i="5"/>
  <c r="D17" i="5"/>
  <c r="F20" i="5" s="1"/>
  <c r="H20" i="5" s="1"/>
  <c r="G16" i="5"/>
  <c r="D16" i="5"/>
  <c r="F19" i="5" s="1"/>
  <c r="G15" i="5"/>
  <c r="D15" i="5"/>
  <c r="F18" i="5" s="1"/>
  <c r="H18" i="5" s="1"/>
  <c r="G14" i="5"/>
  <c r="D14" i="5"/>
  <c r="F17" i="5" s="1"/>
  <c r="G13" i="5"/>
  <c r="D13" i="5"/>
  <c r="F16" i="5" s="1"/>
  <c r="H16" i="5" s="1"/>
  <c r="G12" i="5"/>
  <c r="D12" i="5"/>
  <c r="F15" i="5" s="1"/>
  <c r="G11" i="5"/>
  <c r="D11" i="5"/>
  <c r="F14" i="5" s="1"/>
  <c r="H14" i="5" s="1"/>
  <c r="G10" i="5"/>
  <c r="D10" i="5"/>
  <c r="F13" i="5" s="1"/>
  <c r="G9" i="5"/>
  <c r="D9" i="5"/>
  <c r="F12" i="5" s="1"/>
  <c r="H12" i="5" s="1"/>
  <c r="D8" i="5"/>
  <c r="F11" i="5" s="1"/>
  <c r="D7" i="5"/>
  <c r="F10" i="5" s="1"/>
  <c r="H10" i="5" s="1"/>
  <c r="D6" i="5"/>
  <c r="F9" i="5" s="1"/>
  <c r="H13" i="5" l="1"/>
  <c r="H15" i="5"/>
  <c r="H17" i="5"/>
  <c r="H19" i="5"/>
  <c r="H21" i="5"/>
  <c r="H23" i="5"/>
  <c r="H25" i="5"/>
  <c r="H27" i="5"/>
  <c r="H29" i="5"/>
  <c r="H31" i="5"/>
  <c r="H33" i="5"/>
  <c r="H35" i="5"/>
  <c r="H37" i="5"/>
  <c r="H11" i="5"/>
  <c r="H39" i="5"/>
  <c r="G47" i="5"/>
  <c r="L48" i="4" l="1"/>
  <c r="J48" i="4"/>
  <c r="L47" i="4"/>
  <c r="K47" i="4"/>
  <c r="J47" i="4"/>
  <c r="L46" i="4"/>
  <c r="K46" i="4"/>
  <c r="J46" i="4"/>
  <c r="F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N36" i="4"/>
  <c r="L36" i="4"/>
  <c r="N34" i="4" s="1"/>
  <c r="S34" i="4" s="1"/>
  <c r="K36" i="4"/>
  <c r="J36" i="4"/>
  <c r="F36" i="4"/>
  <c r="G36" i="4" s="1"/>
  <c r="N35" i="4"/>
  <c r="S35" i="4" s="1"/>
  <c r="L35" i="4"/>
  <c r="K35" i="4"/>
  <c r="J35" i="4"/>
  <c r="G35" i="4"/>
  <c r="F35" i="4"/>
  <c r="D35" i="4"/>
  <c r="L34" i="4"/>
  <c r="N32" i="4" s="1"/>
  <c r="S32" i="4" s="1"/>
  <c r="K34" i="4"/>
  <c r="J34" i="4"/>
  <c r="H34" i="4"/>
  <c r="F34" i="4"/>
  <c r="D34" i="4"/>
  <c r="P33" i="4"/>
  <c r="N33" i="4"/>
  <c r="S33" i="4" s="1"/>
  <c r="M33" i="4"/>
  <c r="L33" i="4"/>
  <c r="K33" i="4"/>
  <c r="J33" i="4"/>
  <c r="H33" i="4"/>
  <c r="F33" i="4"/>
  <c r="D33" i="4"/>
  <c r="M32" i="4"/>
  <c r="P32" i="4" s="1"/>
  <c r="L32" i="4"/>
  <c r="N30" i="4" s="1"/>
  <c r="S30" i="4" s="1"/>
  <c r="K32" i="4"/>
  <c r="J32" i="4"/>
  <c r="H32" i="4"/>
  <c r="F32" i="4"/>
  <c r="D32" i="4"/>
  <c r="P31" i="4"/>
  <c r="N31" i="4"/>
  <c r="S31" i="4" s="1"/>
  <c r="M31" i="4"/>
  <c r="L31" i="4"/>
  <c r="K31" i="4"/>
  <c r="J31" i="4"/>
  <c r="H31" i="4"/>
  <c r="F31" i="4"/>
  <c r="D31" i="4"/>
  <c r="M30" i="4"/>
  <c r="P30" i="4" s="1"/>
  <c r="L30" i="4"/>
  <c r="M29" i="4" s="1"/>
  <c r="P29" i="4" s="1"/>
  <c r="K30" i="4"/>
  <c r="J30" i="4"/>
  <c r="H30" i="4"/>
  <c r="F30" i="4"/>
  <c r="D30" i="4"/>
  <c r="N29" i="4"/>
  <c r="S29" i="4" s="1"/>
  <c r="L29" i="4"/>
  <c r="K29" i="4"/>
  <c r="J29" i="4"/>
  <c r="H29" i="4"/>
  <c r="F29" i="4"/>
  <c r="D29" i="4"/>
  <c r="S28" i="4"/>
  <c r="N28" i="4"/>
  <c r="M28" i="4"/>
  <c r="P28" i="4" s="1"/>
  <c r="L28" i="4"/>
  <c r="M27" i="4" s="1"/>
  <c r="P27" i="4" s="1"/>
  <c r="K28" i="4"/>
  <c r="J28" i="4"/>
  <c r="H28" i="4"/>
  <c r="F28" i="4"/>
  <c r="D28" i="4"/>
  <c r="N27" i="4"/>
  <c r="S27" i="4" s="1"/>
  <c r="L27" i="4"/>
  <c r="K27" i="4"/>
  <c r="J27" i="4"/>
  <c r="H27" i="4"/>
  <c r="F27" i="4"/>
  <c r="D27" i="4"/>
  <c r="S26" i="4"/>
  <c r="N26" i="4"/>
  <c r="R26" i="4" s="1"/>
  <c r="M26" i="4"/>
  <c r="P26" i="4" s="1"/>
  <c r="L26" i="4"/>
  <c r="N25" i="4" s="1"/>
  <c r="K26" i="4"/>
  <c r="J26" i="4"/>
  <c r="H26" i="4"/>
  <c r="F26" i="4"/>
  <c r="D26" i="4"/>
  <c r="M25" i="4"/>
  <c r="P25" i="4" s="1"/>
  <c r="K25" i="4"/>
  <c r="J25" i="4"/>
  <c r="H25" i="4"/>
  <c r="F25" i="4"/>
  <c r="D25" i="4"/>
  <c r="P24" i="4"/>
  <c r="N24" i="4"/>
  <c r="R24" i="4" s="1"/>
  <c r="M24" i="4"/>
  <c r="K24" i="4"/>
  <c r="J24" i="4"/>
  <c r="H24" i="4"/>
  <c r="F24" i="4"/>
  <c r="D24" i="4"/>
  <c r="S23" i="4"/>
  <c r="R23" i="4"/>
  <c r="N23" i="4"/>
  <c r="M23" i="4"/>
  <c r="P23" i="4" s="1"/>
  <c r="K23" i="4"/>
  <c r="J23" i="4"/>
  <c r="H23" i="4"/>
  <c r="F23" i="4"/>
  <c r="D23" i="4"/>
  <c r="P22" i="4"/>
  <c r="N22" i="4"/>
  <c r="S22" i="4" s="1"/>
  <c r="M22" i="4"/>
  <c r="K22" i="4"/>
  <c r="J22" i="4"/>
  <c r="H22" i="4"/>
  <c r="F22" i="4"/>
  <c r="D22" i="4"/>
  <c r="T22" i="4" s="1"/>
  <c r="S21" i="4"/>
  <c r="N21" i="4"/>
  <c r="M21" i="4"/>
  <c r="P21" i="4" s="1"/>
  <c r="K21" i="4"/>
  <c r="J21" i="4"/>
  <c r="H21" i="4"/>
  <c r="F21" i="4"/>
  <c r="D21" i="4"/>
  <c r="T21" i="4" s="1"/>
  <c r="P20" i="4"/>
  <c r="N20" i="4"/>
  <c r="S20" i="4" s="1"/>
  <c r="M20" i="4"/>
  <c r="K20" i="4"/>
  <c r="J20" i="4"/>
  <c r="H20" i="4"/>
  <c r="F20" i="4"/>
  <c r="D20" i="4"/>
  <c r="T20" i="4" s="1"/>
  <c r="S19" i="4"/>
  <c r="N19" i="4"/>
  <c r="M19" i="4"/>
  <c r="P19" i="4" s="1"/>
  <c r="K19" i="4"/>
  <c r="J19" i="4"/>
  <c r="H19" i="4"/>
  <c r="F19" i="4"/>
  <c r="D19" i="4"/>
  <c r="T19" i="4" s="1"/>
  <c r="T13" i="4" s="1"/>
  <c r="N18" i="4"/>
  <c r="S18" i="4" s="1"/>
  <c r="M18" i="4"/>
  <c r="P18" i="4" s="1"/>
  <c r="K18" i="4"/>
  <c r="J18" i="4"/>
  <c r="H18" i="4"/>
  <c r="F18" i="4"/>
  <c r="D18" i="4"/>
  <c r="P17" i="4"/>
  <c r="N17" i="4"/>
  <c r="S17" i="4" s="1"/>
  <c r="M17" i="4"/>
  <c r="K17" i="4"/>
  <c r="J17" i="4"/>
  <c r="H17" i="4"/>
  <c r="F17" i="4"/>
  <c r="D17" i="4"/>
  <c r="E5" i="4"/>
  <c r="E8" i="4" s="1"/>
  <c r="E4" i="4"/>
  <c r="E3" i="4"/>
  <c r="S25" i="4" l="1"/>
  <c r="E6" i="4"/>
  <c r="E7" i="4" s="1"/>
  <c r="E9" i="4" s="1"/>
  <c r="R25" i="4"/>
  <c r="H36" i="4"/>
  <c r="G37" i="4"/>
  <c r="M34" i="4"/>
  <c r="P34" i="4" s="1"/>
  <c r="H35" i="4"/>
  <c r="S24" i="4"/>
  <c r="S13" i="4" s="1"/>
  <c r="M35" i="4" l="1"/>
  <c r="P35" i="4" s="1"/>
  <c r="G38" i="4"/>
  <c r="M36" i="4" l="1"/>
  <c r="G39" i="4"/>
  <c r="H38" i="4"/>
  <c r="H37" i="4"/>
  <c r="G40" i="4" l="1"/>
  <c r="G41" i="4" l="1"/>
  <c r="H40" i="4" s="1"/>
  <c r="H39" i="4"/>
  <c r="H41" i="4" l="1"/>
  <c r="G42" i="4"/>
  <c r="G43" i="4" l="1"/>
  <c r="H43" i="4" l="1"/>
  <c r="G44" i="4"/>
  <c r="H42" i="4"/>
  <c r="G45" i="4" l="1"/>
  <c r="G46" i="4" l="1"/>
  <c r="H45" i="4" s="1"/>
  <c r="H44" i="4"/>
  <c r="G47" i="4" l="1"/>
  <c r="H47" i="4" s="1"/>
  <c r="H46" i="4" l="1"/>
  <c r="Q2" i="3" l="1"/>
  <c r="R2" i="3"/>
  <c r="S2" i="3"/>
  <c r="T2" i="3"/>
  <c r="U2" i="3"/>
  <c r="V2" i="3"/>
  <c r="W2" i="3"/>
  <c r="P2" i="3"/>
  <c r="P7" i="3"/>
  <c r="Q7" i="3"/>
  <c r="R7" i="3"/>
  <c r="S7" i="3"/>
  <c r="T7" i="3"/>
  <c r="U7" i="3"/>
  <c r="V7" i="3"/>
  <c r="W7" i="3"/>
  <c r="P8" i="3"/>
  <c r="Q8" i="3"/>
  <c r="R8" i="3"/>
  <c r="S8" i="3"/>
  <c r="T8" i="3"/>
  <c r="U8" i="3"/>
  <c r="V8" i="3"/>
  <c r="W8" i="3"/>
  <c r="P9" i="3"/>
  <c r="Q9" i="3"/>
  <c r="R9" i="3"/>
  <c r="S9" i="3"/>
  <c r="T9" i="3"/>
  <c r="U9" i="3"/>
  <c r="V9" i="3"/>
  <c r="W9" i="3"/>
  <c r="P10" i="3"/>
  <c r="Q10" i="3"/>
  <c r="R10" i="3"/>
  <c r="S10" i="3"/>
  <c r="T10" i="3"/>
  <c r="U10" i="3"/>
  <c r="V10" i="3"/>
  <c r="W10" i="3"/>
  <c r="P11" i="3"/>
  <c r="Q11" i="3"/>
  <c r="R11" i="3"/>
  <c r="S11" i="3"/>
  <c r="T11" i="3"/>
  <c r="U11" i="3"/>
  <c r="V11" i="3"/>
  <c r="W11" i="3"/>
  <c r="P12" i="3"/>
  <c r="Q12" i="3"/>
  <c r="R12" i="3"/>
  <c r="S12" i="3"/>
  <c r="T12" i="3"/>
  <c r="U12" i="3"/>
  <c r="V12" i="3"/>
  <c r="W12" i="3"/>
  <c r="P13" i="3"/>
  <c r="Q13" i="3"/>
  <c r="R13" i="3"/>
  <c r="S13" i="3"/>
  <c r="T13" i="3"/>
  <c r="U13" i="3"/>
  <c r="V13" i="3"/>
  <c r="W13" i="3"/>
  <c r="P14" i="3"/>
  <c r="Q14" i="3"/>
  <c r="R14" i="3"/>
  <c r="S14" i="3"/>
  <c r="T14" i="3"/>
  <c r="U14" i="3"/>
  <c r="V14" i="3"/>
  <c r="W14" i="3"/>
  <c r="P15" i="3"/>
  <c r="Q15" i="3"/>
  <c r="R15" i="3"/>
  <c r="S15" i="3"/>
  <c r="T15" i="3"/>
  <c r="U15" i="3"/>
  <c r="V15" i="3"/>
  <c r="W15" i="3"/>
  <c r="P16" i="3"/>
  <c r="Q16" i="3"/>
  <c r="R16" i="3"/>
  <c r="S16" i="3"/>
  <c r="T16" i="3"/>
  <c r="U16" i="3"/>
  <c r="V16" i="3"/>
  <c r="W16" i="3"/>
  <c r="P17" i="3"/>
  <c r="Q17" i="3"/>
  <c r="R17" i="3"/>
  <c r="S17" i="3"/>
  <c r="T17" i="3"/>
  <c r="U17" i="3"/>
  <c r="V17" i="3"/>
  <c r="W17" i="3"/>
  <c r="P18" i="3"/>
  <c r="Q18" i="3"/>
  <c r="R18" i="3"/>
  <c r="S18" i="3"/>
  <c r="T18" i="3"/>
  <c r="U18" i="3"/>
  <c r="V18" i="3"/>
  <c r="W18" i="3"/>
  <c r="P19" i="3"/>
  <c r="Q19" i="3"/>
  <c r="R19" i="3"/>
  <c r="S19" i="3"/>
  <c r="T19" i="3"/>
  <c r="U19" i="3"/>
  <c r="V19" i="3"/>
  <c r="W19" i="3"/>
  <c r="P20" i="3"/>
  <c r="Q20" i="3"/>
  <c r="R20" i="3"/>
  <c r="S20" i="3"/>
  <c r="T20" i="3"/>
  <c r="U20" i="3"/>
  <c r="V20" i="3"/>
  <c r="W20" i="3"/>
  <c r="P21" i="3"/>
  <c r="Q21" i="3"/>
  <c r="R21" i="3"/>
  <c r="S21" i="3"/>
  <c r="T21" i="3"/>
  <c r="U21" i="3"/>
  <c r="V21" i="3"/>
  <c r="W21" i="3"/>
  <c r="P22" i="3"/>
  <c r="Q22" i="3"/>
  <c r="R22" i="3"/>
  <c r="S22" i="3"/>
  <c r="T22" i="3"/>
  <c r="U22" i="3"/>
  <c r="V22" i="3"/>
  <c r="W22" i="3"/>
  <c r="P23" i="3"/>
  <c r="Q23" i="3"/>
  <c r="R23" i="3"/>
  <c r="S23" i="3"/>
  <c r="T23" i="3"/>
  <c r="U23" i="3"/>
  <c r="V23" i="3"/>
  <c r="W23" i="3"/>
  <c r="P24" i="3"/>
  <c r="Q24" i="3"/>
  <c r="R24" i="3"/>
  <c r="S24" i="3"/>
  <c r="T24" i="3"/>
  <c r="U24" i="3"/>
  <c r="V24" i="3"/>
  <c r="W24" i="3"/>
  <c r="P25" i="3"/>
  <c r="Q25" i="3"/>
  <c r="R25" i="3"/>
  <c r="S25" i="3"/>
  <c r="T25" i="3"/>
  <c r="U25" i="3"/>
  <c r="V25" i="3"/>
  <c r="W25" i="3"/>
  <c r="P26" i="3"/>
  <c r="Q26" i="3"/>
  <c r="R26" i="3"/>
  <c r="S26" i="3"/>
  <c r="T26" i="3"/>
  <c r="U26" i="3"/>
  <c r="V26" i="3"/>
  <c r="W26" i="3"/>
  <c r="P27" i="3"/>
  <c r="Q27" i="3"/>
  <c r="R27" i="3"/>
  <c r="S27" i="3"/>
  <c r="T27" i="3"/>
  <c r="U27" i="3"/>
  <c r="V27" i="3"/>
  <c r="W27" i="3"/>
  <c r="P28" i="3"/>
  <c r="Q28" i="3"/>
  <c r="R28" i="3"/>
  <c r="S28" i="3"/>
  <c r="T28" i="3"/>
  <c r="U28" i="3"/>
  <c r="V28" i="3"/>
  <c r="W28" i="3"/>
  <c r="P29" i="3"/>
  <c r="Q29" i="3"/>
  <c r="R29" i="3"/>
  <c r="S29" i="3"/>
  <c r="T29" i="3"/>
  <c r="U29" i="3"/>
  <c r="V29" i="3"/>
  <c r="W29" i="3"/>
  <c r="P30" i="3"/>
  <c r="Q30" i="3"/>
  <c r="R30" i="3"/>
  <c r="S30" i="3"/>
  <c r="T30" i="3"/>
  <c r="U30" i="3"/>
  <c r="V30" i="3"/>
  <c r="W30" i="3"/>
  <c r="P31" i="3"/>
  <c r="Q31" i="3"/>
  <c r="R31" i="3"/>
  <c r="S31" i="3"/>
  <c r="T31" i="3"/>
  <c r="U31" i="3"/>
  <c r="V31" i="3"/>
  <c r="W31" i="3"/>
  <c r="P32" i="3"/>
  <c r="Q32" i="3"/>
  <c r="R32" i="3"/>
  <c r="S32" i="3"/>
  <c r="T32" i="3"/>
  <c r="U32" i="3"/>
  <c r="V32" i="3"/>
  <c r="W32" i="3"/>
  <c r="P33" i="3"/>
  <c r="Q33" i="3"/>
  <c r="R33" i="3"/>
  <c r="S33" i="3"/>
  <c r="T33" i="3"/>
  <c r="U33" i="3"/>
  <c r="V33" i="3"/>
  <c r="W33" i="3"/>
  <c r="P34" i="3"/>
  <c r="Q34" i="3"/>
  <c r="R34" i="3"/>
  <c r="S34" i="3"/>
  <c r="T34" i="3"/>
  <c r="U34" i="3"/>
  <c r="V34" i="3"/>
  <c r="W34" i="3"/>
  <c r="P35" i="3"/>
  <c r="Q35" i="3"/>
  <c r="R35" i="3"/>
  <c r="S35" i="3"/>
  <c r="T35" i="3"/>
  <c r="U35" i="3"/>
  <c r="V35" i="3"/>
  <c r="W35" i="3"/>
  <c r="P36" i="3"/>
  <c r="Q36" i="3"/>
  <c r="R36" i="3"/>
  <c r="S36" i="3"/>
  <c r="T36" i="3"/>
  <c r="U36" i="3"/>
  <c r="V36" i="3"/>
  <c r="W36" i="3"/>
  <c r="Q6" i="3"/>
  <c r="R6" i="3"/>
  <c r="S6" i="3"/>
  <c r="T6" i="3"/>
  <c r="U6" i="3"/>
  <c r="V6" i="3"/>
  <c r="W6" i="3"/>
  <c r="P6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E13" i="1"/>
  <c r="E16" i="1"/>
  <c r="E17" i="1"/>
  <c r="E20" i="1"/>
  <c r="E21" i="1"/>
  <c r="E24" i="1"/>
  <c r="E25" i="1"/>
  <c r="E28" i="1"/>
  <c r="E29" i="1"/>
  <c r="E31" i="1"/>
  <c r="E32" i="1"/>
  <c r="E33" i="1"/>
  <c r="E34" i="1"/>
  <c r="E35" i="1"/>
  <c r="E36" i="1"/>
  <c r="E37" i="1"/>
  <c r="E38" i="1"/>
  <c r="E39" i="1"/>
  <c r="E8" i="1"/>
  <c r="C30" i="1"/>
  <c r="E30" i="1" s="1"/>
  <c r="C29" i="1"/>
  <c r="C28" i="1"/>
  <c r="C27" i="1"/>
  <c r="E27" i="1" s="1"/>
  <c r="C26" i="1"/>
  <c r="E26" i="1" s="1"/>
  <c r="C25" i="1"/>
  <c r="C24" i="1"/>
  <c r="C23" i="1"/>
  <c r="E23" i="1" s="1"/>
  <c r="C22" i="1"/>
  <c r="E22" i="1" s="1"/>
  <c r="C21" i="1"/>
  <c r="C20" i="1"/>
  <c r="C19" i="1"/>
  <c r="E19" i="1" s="1"/>
  <c r="C18" i="1"/>
  <c r="E18" i="1" s="1"/>
  <c r="C17" i="1"/>
  <c r="C16" i="1"/>
  <c r="C15" i="1"/>
  <c r="E15" i="1" s="1"/>
  <c r="C14" i="1"/>
  <c r="E14" i="1" s="1"/>
  <c r="C13" i="1"/>
  <c r="C12" i="1"/>
  <c r="E12" i="1" s="1"/>
  <c r="C11" i="1"/>
  <c r="E11" i="1" s="1"/>
  <c r="C10" i="1"/>
  <c r="E10" i="1" s="1"/>
  <c r="C9" i="1"/>
  <c r="E9" i="1" s="1"/>
  <c r="C8" i="1"/>
</calcChain>
</file>

<file path=xl/comments1.xml><?xml version="1.0" encoding="utf-8"?>
<comments xmlns="http://schemas.openxmlformats.org/spreadsheetml/2006/main">
  <authors>
    <author>Author</author>
  </authors>
  <commentList>
    <comment ref="P20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The price is finali</t>
        </r>
      </text>
    </comment>
  </commentList>
</comments>
</file>

<file path=xl/comments2.xml><?xml version="1.0" encoding="utf-8"?>
<comments xmlns="http://schemas.openxmlformats.org/spreadsheetml/2006/main">
  <authors>
    <author>Rayomand  Mirzan</author>
    <author>Suryakanth  Shabolu</author>
  </authors>
  <commentList>
    <comment ref="E34" authorId="0">
      <text>
        <r>
          <rPr>
            <b/>
            <sz val="9"/>
            <color indexed="81"/>
            <rFont val="Tahoma"/>
            <family val="2"/>
          </rPr>
          <t>Rayomand  Mirzan:</t>
        </r>
        <r>
          <rPr>
            <sz val="9"/>
            <color indexed="81"/>
            <rFont val="Tahoma"/>
            <family val="2"/>
          </rPr>
          <t xml:space="preserve">
should be flat, however in view of rising market should cover about 100 mt additional (max internal storage)
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Rayomand  Mirzan:</t>
        </r>
        <r>
          <rPr>
            <sz val="9"/>
            <color indexed="81"/>
            <rFont val="Tahoma"/>
            <family val="2"/>
          </rPr>
          <t xml:space="preserve">
should be slightly higher, but keep covered (max internal storage) 
 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Rayomand  Mirzan:</t>
        </r>
        <r>
          <rPr>
            <sz val="9"/>
            <color indexed="81"/>
            <rFont val="Tahoma"/>
            <family val="2"/>
          </rPr>
          <t xml:space="preserve">
Cover in Feb max storage (both internal and external) as Mar price would be higher
</t>
        </r>
      </text>
    </comment>
    <comment ref="E38" authorId="1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Expected to be Flat or slightly lower due to early reduction in June 2017.</t>
        </r>
      </text>
    </comment>
    <comment ref="E39" authorId="1">
      <text>
        <r>
          <rPr>
            <b/>
            <sz val="9"/>
            <color indexed="81"/>
            <rFont val="Tahoma"/>
            <family val="2"/>
          </rPr>
          <t>Suryakanth  Shabolu:</t>
        </r>
        <r>
          <rPr>
            <sz val="9"/>
            <color indexed="81"/>
            <rFont val="Tahoma"/>
            <family val="2"/>
          </rPr>
          <t xml:space="preserve">
Expected to drop by 5-6% compared to May-17</t>
        </r>
      </text>
    </comment>
  </commentList>
</comments>
</file>

<file path=xl/sharedStrings.xml><?xml version="1.0" encoding="utf-8"?>
<sst xmlns="http://schemas.openxmlformats.org/spreadsheetml/2006/main" count="101" uniqueCount="60">
  <si>
    <t xml:space="preserve">Paper Bag with Liner </t>
  </si>
  <si>
    <t>Barrel</t>
  </si>
  <si>
    <t>Catalyst</t>
  </si>
  <si>
    <t>5layer bag</t>
  </si>
  <si>
    <t>Stretch Wrap</t>
  </si>
  <si>
    <t>Liner</t>
  </si>
  <si>
    <t>Month</t>
  </si>
  <si>
    <t>Crude in INR</t>
  </si>
  <si>
    <t>X-Rate</t>
  </si>
  <si>
    <t>Crude in USD</t>
  </si>
  <si>
    <t>HDPE E52009</t>
  </si>
  <si>
    <t>LDPE 1070LA17</t>
  </si>
  <si>
    <t>HMHDPE F46003</t>
  </si>
  <si>
    <t>HDPE 52GB001</t>
  </si>
  <si>
    <t xml:space="preserve"> LDPE 22FA002</t>
  </si>
  <si>
    <t xml:space="preserve">LLDPE 20FA020 </t>
  </si>
  <si>
    <t>LLD F19010</t>
  </si>
  <si>
    <t>LD 1005FY20</t>
  </si>
  <si>
    <t>LME Nickel</t>
  </si>
  <si>
    <t>Summary</t>
  </si>
  <si>
    <t>Total Coal Consumed FY 16-17</t>
  </si>
  <si>
    <t>Total PO Quantity</t>
  </si>
  <si>
    <t>Total PO cost</t>
  </si>
  <si>
    <t>Total Coal consumed cost</t>
  </si>
  <si>
    <t>Total Cost pet MT consumed</t>
  </si>
  <si>
    <t>Total Cost pet MT PO</t>
  </si>
  <si>
    <t>HBA Index</t>
  </si>
  <si>
    <t>Indo Coal 5K GCV</t>
  </si>
  <si>
    <t>VVF Spec Coal Spot</t>
  </si>
  <si>
    <t>R0</t>
  </si>
  <si>
    <t>R1</t>
  </si>
  <si>
    <t>Coal Consumed (MTs)</t>
  </si>
  <si>
    <t>PO qty for the month (MTs)</t>
  </si>
  <si>
    <t>Forward Cover</t>
  </si>
  <si>
    <t>Rate (USD/MT)</t>
  </si>
  <si>
    <t>% change</t>
  </si>
  <si>
    <t>Excng Rate USD</t>
  </si>
  <si>
    <t>Cost template in Rs/Kg (5000 GCV indo coal)</t>
  </si>
  <si>
    <t>Cost template in Rs/Kg (VVF spec)</t>
  </si>
  <si>
    <t>PO Rate in Rs/Kg</t>
  </si>
  <si>
    <t>% of Act to Cost template</t>
  </si>
  <si>
    <t>Monsoon Rate</t>
  </si>
  <si>
    <t>Savings compared to VVF Specs Price on Coal spot</t>
  </si>
  <si>
    <t>Cost Avoidance</t>
  </si>
  <si>
    <t>Remark</t>
  </si>
  <si>
    <t xml:space="preserve"> </t>
  </si>
  <si>
    <t>Coal procured from covered warehouse due to moisture issue due to monsoon</t>
  </si>
  <si>
    <t>Date</t>
  </si>
  <si>
    <t>Exchange INR/USD</t>
  </si>
  <si>
    <t>Crude price in $</t>
  </si>
  <si>
    <t>Exchange &amp; Crude Combination</t>
  </si>
  <si>
    <t>Rate of petcoke</t>
  </si>
  <si>
    <t>3 mths lag of petcoke D</t>
  </si>
  <si>
    <t xml:space="preserve">Predictive for petcoke  % E </t>
  </si>
  <si>
    <t>Predictive for petcoke  % F</t>
  </si>
  <si>
    <t xml:space="preserve">ICRE </t>
  </si>
  <si>
    <t xml:space="preserve">Budget assumptio </t>
  </si>
  <si>
    <t>Crude</t>
  </si>
  <si>
    <t xml:space="preserve">Currency 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</si>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</sst>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.00_);_(* \(#,##0.00\);_(* &quot;-&quot;??_);_(@_)"/>
    <numFmt numFmtId="165" formatCode="0.00_)"/>
    <numFmt numFmtId="166" formatCode="_-&quot;$&quot;* #,##0_-;\-&quot;$&quot;* #,##0_-;_-&quot;$&quot;* &quot;-&quot;_-;_-@_-"/>
    <numFmt numFmtId="167" formatCode="0;[Red]0"/>
    <numFmt numFmtId="168" formatCode="0.000%"/>
    <numFmt numFmtId="169" formatCode="[$₹-4009]\ #,##0.00"/>
    <numFmt numFmtId="170" formatCode="0.000"/>
    <numFmt numFmtId="171" formatCode="&quot;Rs.&quot;\ #,##0.00"/>
    <numFmt numFmtId="172" formatCode="&quot;Rs.&quot;\ #,##0"/>
    <numFmt numFmtId="173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i/>
      <sz val="16"/>
      <name val="Helv"/>
    </font>
    <font>
      <b/>
      <sz val="11"/>
      <name val="Times New Roman"/>
      <family val="1"/>
    </font>
    <font>
      <sz val="10"/>
      <color indexed="8"/>
      <name val="Arial"/>
      <family val="2"/>
    </font>
    <font>
      <sz val="12"/>
      <name val="Tms Rmn"/>
    </font>
    <font>
      <sz val="10"/>
      <name val="Helv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7"/>
      <name val="Small Fonts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Bookman Old Style"/>
      <family val="1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29">
    <xf numFmtId="0" fontId="0" fillId="0" borderId="0"/>
    <xf numFmtId="1" fontId="2" fillId="0" borderId="0" applyNumberFormat="0" applyFont="0" applyFill="0" applyBorder="0" applyAlignment="0">
      <alignment horizontal="right"/>
    </xf>
    <xf numFmtId="0" fontId="10" fillId="0" borderId="0" applyNumberFormat="0" applyFill="0" applyBorder="0" applyAlignment="0" applyProtection="0"/>
    <xf numFmtId="0" fontId="11" fillId="0" borderId="2"/>
    <xf numFmtId="3" fontId="12" fillId="0" borderId="0" applyFont="0" applyFill="0" applyBorder="0" applyAlignment="0" applyProtection="0"/>
    <xf numFmtId="0" fontId="11" fillId="0" borderId="2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0" fontId="6" fillId="0" borderId="3" applyNumberFormat="0" applyFill="0" applyBorder="0" applyAlignment="0" applyProtection="0">
      <protection locked="0"/>
    </xf>
    <xf numFmtId="38" fontId="4" fillId="2" borderId="0" applyNumberFormat="0" applyBorder="0" applyAlignment="0" applyProtection="0"/>
    <xf numFmtId="0" fontId="5" fillId="0" borderId="4" applyNumberFormat="0" applyAlignment="0" applyProtection="0">
      <alignment horizontal="left" vertical="center"/>
    </xf>
    <xf numFmtId="0" fontId="5" fillId="0" borderId="5">
      <alignment horizontal="left"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8" fontId="2" fillId="0" borderId="0">
      <protection locked="0"/>
    </xf>
    <xf numFmtId="168" fontId="2" fillId="0" borderId="0">
      <protection locked="0"/>
    </xf>
    <xf numFmtId="168" fontId="2" fillId="0" borderId="0"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0" fontId="4" fillId="3" borderId="1" applyNumberFormat="0" applyBorder="0" applyAlignment="0" applyProtection="0"/>
    <xf numFmtId="37" fontId="15" fillId="0" borderId="0"/>
    <xf numFmtId="165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2" fillId="0" borderId="0" applyNumberFormat="0" applyFont="0" applyFill="0" applyBorder="0" applyAlignment="0" applyProtection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" fontId="2" fillId="0" borderId="0" applyNumberFormat="0" applyFont="0" applyFill="0" applyBorder="0" applyAlignment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" fontId="2" fillId="0" borderId="0" applyNumberFormat="0" applyFont="0" applyFill="0" applyBorder="0" applyAlignment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" fontId="2" fillId="0" borderId="0" applyNumberFormat="0" applyFont="0" applyFill="0" applyBorder="0" applyAlignment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" fontId="2" fillId="0" borderId="0" applyNumberFormat="0" applyFont="0" applyFill="0" applyBorder="0" applyAlignment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" fontId="2" fillId="0" borderId="0" applyNumberFormat="0" applyFont="0" applyFill="0" applyBorder="0" applyAlignment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" fontId="2" fillId="0" borderId="0" applyNumberFormat="0" applyFont="0" applyFill="0" applyBorder="0" applyAlignment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" fontId="2" fillId="0" borderId="0" applyNumberFormat="0" applyFont="0" applyFill="0" applyBorder="0" applyAlignment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" fontId="2" fillId="0" borderId="0" applyNumberFormat="0" applyFont="0" applyFill="0" applyBorder="0" applyAlignment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9" fillId="4" borderId="6" applyNumberFormat="0" applyProtection="0">
      <alignment horizontal="left" vertical="center" inden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5" borderId="7" applyNumberFormat="0" applyFont="0" applyFill="0" applyBorder="0" applyAlignment="0">
      <alignment horizontal="center"/>
      <protection locked="0" hidden="1"/>
    </xf>
    <xf numFmtId="40" fontId="8" fillId="0" borderId="0"/>
    <xf numFmtId="0" fontId="12" fillId="0" borderId="8" applyNumberFormat="0" applyFon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17" fillId="0" borderId="1" xfId="0" applyFont="1" applyFill="1" applyBorder="1" applyAlignment="1">
      <alignment horizontal="center" vertical="top"/>
    </xf>
    <xf numFmtId="0" fontId="21" fillId="7" borderId="1" xfId="0" applyFont="1" applyFill="1" applyBorder="1" applyAlignment="1">
      <alignment horizontal="center"/>
    </xf>
    <xf numFmtId="0" fontId="23" fillId="0" borderId="0" xfId="0" applyFont="1"/>
    <xf numFmtId="0" fontId="27" fillId="0" borderId="9" xfId="0" applyFont="1" applyBorder="1" applyAlignment="1">
      <alignment horizontal="center" vertical="top"/>
    </xf>
    <xf numFmtId="0" fontId="23" fillId="0" borderId="1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7" borderId="1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2" fontId="27" fillId="6" borderId="1" xfId="1725" applyNumberFormat="1" applyFont="1" applyFill="1" applyBorder="1" applyAlignment="1">
      <alignment horizontal="center"/>
    </xf>
    <xf numFmtId="2" fontId="27" fillId="6" borderId="1" xfId="1722" applyNumberFormat="1" applyFont="1" applyFill="1" applyBorder="1" applyAlignment="1">
      <alignment horizontal="center"/>
    </xf>
    <xf numFmtId="2" fontId="27" fillId="6" borderId="1" xfId="1719" applyNumberFormat="1" applyFont="1" applyFill="1" applyBorder="1" applyAlignment="1">
      <alignment horizontal="center"/>
    </xf>
    <xf numFmtId="2" fontId="27" fillId="6" borderId="1" xfId="1716" applyNumberFormat="1" applyFont="1" applyFill="1" applyBorder="1" applyAlignment="1">
      <alignment horizontal="center" vertical="center"/>
    </xf>
    <xf numFmtId="2" fontId="29" fillId="0" borderId="1" xfId="1713" applyNumberFormat="1" applyFont="1" applyBorder="1" applyAlignment="1">
      <alignment horizontal="center" vertical="center"/>
    </xf>
    <xf numFmtId="2" fontId="29" fillId="0" borderId="1" xfId="1710" applyNumberFormat="1" applyFont="1" applyBorder="1" applyAlignment="1">
      <alignment horizontal="center" vertical="center"/>
    </xf>
    <xf numFmtId="2" fontId="29" fillId="0" borderId="1" xfId="1707" applyNumberFormat="1" applyFont="1" applyBorder="1" applyAlignment="1">
      <alignment horizontal="center" vertical="center"/>
    </xf>
    <xf numFmtId="2" fontId="29" fillId="0" borderId="1" xfId="1704" applyNumberFormat="1" applyFont="1" applyBorder="1" applyAlignment="1">
      <alignment horizontal="center" vertical="center"/>
    </xf>
    <xf numFmtId="2" fontId="29" fillId="0" borderId="1" xfId="1701" applyNumberFormat="1" applyFont="1" applyBorder="1" applyAlignment="1">
      <alignment horizontal="center" vertical="center"/>
    </xf>
    <xf numFmtId="2" fontId="29" fillId="0" borderId="1" xfId="1698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2" fontId="27" fillId="0" borderId="9" xfId="0" applyNumberFormat="1" applyFont="1" applyBorder="1" applyAlignment="1">
      <alignment horizontal="center" vertical="top"/>
    </xf>
    <xf numFmtId="0" fontId="22" fillId="7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vertical="top" wrapText="1"/>
    </xf>
    <xf numFmtId="2" fontId="2" fillId="0" borderId="1" xfId="1693" applyNumberFormat="1" applyFill="1" applyBorder="1" applyAlignment="1">
      <alignment vertical="top" wrapText="1"/>
    </xf>
    <xf numFmtId="2" fontId="2" fillId="0" borderId="1" xfId="0" applyNumberFormat="1" applyFont="1" applyFill="1" applyBorder="1"/>
    <xf numFmtId="17" fontId="0" fillId="0" borderId="1" xfId="0" applyNumberFormat="1" applyFill="1" applyBorder="1"/>
    <xf numFmtId="0" fontId="0" fillId="0" borderId="1" xfId="0" applyBorder="1"/>
    <xf numFmtId="17" fontId="0" fillId="0" borderId="9" xfId="0" applyNumberFormat="1" applyFill="1" applyBorder="1"/>
    <xf numFmtId="14" fontId="27" fillId="0" borderId="9" xfId="0" applyNumberFormat="1" applyFont="1" applyBorder="1" applyAlignment="1">
      <alignment horizontal="center" vertical="top"/>
    </xf>
    <xf numFmtId="1" fontId="27" fillId="0" borderId="9" xfId="0" applyNumberFormat="1" applyFont="1" applyBorder="1" applyAlignment="1">
      <alignment horizontal="center" vertical="top"/>
    </xf>
    <xf numFmtId="0" fontId="24" fillId="7" borderId="1" xfId="0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horizontal="center" wrapText="1"/>
    </xf>
    <xf numFmtId="0" fontId="2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9" fontId="25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wrapText="1"/>
    </xf>
    <xf numFmtId="0" fontId="20" fillId="7" borderId="1" xfId="1726" applyFont="1" applyFill="1" applyBorder="1" applyAlignment="1">
      <alignment horizontal="center" wrapText="1"/>
    </xf>
    <xf numFmtId="0" fontId="20" fillId="7" borderId="1" xfId="1727" applyFont="1" applyFill="1" applyBorder="1" applyAlignment="1">
      <alignment horizontal="center" wrapText="1"/>
    </xf>
    <xf numFmtId="170" fontId="23" fillId="0" borderId="0" xfId="1728" applyNumberFormat="1" applyFont="1"/>
    <xf numFmtId="2" fontId="23" fillId="0" borderId="0" xfId="0" applyNumberFormat="1" applyFont="1"/>
    <xf numFmtId="0" fontId="22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9" xfId="0" applyBorder="1"/>
    <xf numFmtId="0" fontId="0" fillId="0" borderId="11" xfId="0" applyBorder="1"/>
    <xf numFmtId="0" fontId="0" fillId="0" borderId="5" xfId="0" applyBorder="1"/>
    <xf numFmtId="0" fontId="30" fillId="8" borderId="1" xfId="0" applyFont="1" applyFill="1" applyBorder="1" applyAlignment="1">
      <alignment vertical="top" wrapText="1"/>
    </xf>
    <xf numFmtId="0" fontId="30" fillId="9" borderId="1" xfId="0" applyFont="1" applyFill="1" applyBorder="1" applyAlignment="1">
      <alignment vertical="top" wrapText="1"/>
    </xf>
    <xf numFmtId="0" fontId="30" fillId="10" borderId="1" xfId="0" applyFont="1" applyFill="1" applyBorder="1" applyAlignment="1">
      <alignment vertical="top" wrapText="1"/>
    </xf>
    <xf numFmtId="0" fontId="30" fillId="10" borderId="12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2" fontId="0" fillId="0" borderId="1" xfId="0" quotePrefix="1" applyNumberFormat="1" applyBorder="1" applyAlignment="1">
      <alignment vertical="top" wrapText="1"/>
    </xf>
    <xf numFmtId="9" fontId="0" fillId="0" borderId="1" xfId="1728" applyFont="1" applyBorder="1"/>
    <xf numFmtId="9" fontId="0" fillId="0" borderId="0" xfId="1728" applyFont="1" applyBorder="1"/>
    <xf numFmtId="171" fontId="0" fillId="0" borderId="0" xfId="0" applyNumberFormat="1"/>
    <xf numFmtId="17" fontId="0" fillId="0" borderId="1" xfId="0" applyNumberFormat="1" applyBorder="1" applyAlignment="1">
      <alignment vertical="top" wrapText="1"/>
    </xf>
    <xf numFmtId="1" fontId="31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10" fontId="0" fillId="0" borderId="1" xfId="1685" applyNumberFormat="1" applyFont="1" applyBorder="1" applyAlignment="1">
      <alignment vertical="top" wrapText="1"/>
    </xf>
    <xf numFmtId="9" fontId="0" fillId="0" borderId="1" xfId="1728" applyFont="1" applyBorder="1" applyAlignment="1">
      <alignment vertical="top" wrapText="1"/>
    </xf>
    <xf numFmtId="2" fontId="2" fillId="0" borderId="1" xfId="1693" quotePrefix="1" applyNumberFormat="1" applyBorder="1" applyAlignment="1">
      <alignment vertical="top" wrapText="1"/>
    </xf>
    <xf numFmtId="9" fontId="0" fillId="0" borderId="1" xfId="1685" applyFont="1" applyBorder="1"/>
    <xf numFmtId="172" fontId="0" fillId="8" borderId="0" xfId="0" applyNumberFormat="1" applyFill="1"/>
    <xf numFmtId="171" fontId="0" fillId="8" borderId="0" xfId="0" applyNumberFormat="1" applyFill="1"/>
    <xf numFmtId="0" fontId="2" fillId="0" borderId="1" xfId="1693" applyBorder="1"/>
    <xf numFmtId="0" fontId="2" fillId="0" borderId="1" xfId="1693" applyBorder="1" applyAlignment="1">
      <alignment vertical="top" wrapText="1"/>
    </xf>
    <xf numFmtId="10" fontId="0" fillId="0" borderId="1" xfId="1728" applyNumberFormat="1" applyFont="1" applyBorder="1" applyAlignment="1">
      <alignment vertical="top" wrapText="1"/>
    </xf>
    <xf numFmtId="2" fontId="0" fillId="0" borderId="1" xfId="0" applyNumberFormat="1" applyBorder="1"/>
    <xf numFmtId="2" fontId="0" fillId="0" borderId="0" xfId="1728" applyNumberFormat="1" applyFont="1" applyBorder="1"/>
    <xf numFmtId="0" fontId="2" fillId="0" borderId="0" xfId="0" applyFont="1"/>
    <xf numFmtId="2" fontId="2" fillId="0" borderId="0" xfId="0" applyNumberFormat="1" applyFont="1" applyBorder="1"/>
    <xf numFmtId="17" fontId="0" fillId="8" borderId="1" xfId="0" applyNumberFormat="1" applyFill="1" applyBorder="1" applyAlignment="1">
      <alignment vertical="top" wrapText="1"/>
    </xf>
    <xf numFmtId="1" fontId="31" fillId="8" borderId="1" xfId="0" applyNumberFormat="1" applyFont="1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10" fontId="2" fillId="8" borderId="1" xfId="1728" applyNumberFormat="1" applyFont="1" applyFill="1" applyBorder="1" applyAlignment="1">
      <alignment vertical="top" wrapText="1"/>
    </xf>
    <xf numFmtId="9" fontId="2" fillId="8" borderId="1" xfId="1728" applyFont="1" applyFill="1" applyBorder="1" applyAlignment="1">
      <alignment vertical="top" wrapText="1"/>
    </xf>
    <xf numFmtId="2" fontId="2" fillId="8" borderId="0" xfId="0" applyNumberFormat="1" applyFont="1" applyFill="1" applyBorder="1"/>
    <xf numFmtId="2" fontId="0" fillId="8" borderId="1" xfId="0" quotePrefix="1" applyNumberFormat="1" applyFill="1" applyBorder="1" applyAlignment="1">
      <alignment vertical="top" wrapText="1"/>
    </xf>
    <xf numFmtId="173" fontId="0" fillId="8" borderId="1" xfId="0" applyNumberFormat="1" applyFill="1" applyBorder="1"/>
    <xf numFmtId="9" fontId="2" fillId="8" borderId="1" xfId="1728" applyFont="1" applyFill="1" applyBorder="1"/>
    <xf numFmtId="9" fontId="2" fillId="8" borderId="0" xfId="1728" applyFont="1" applyFill="1" applyBorder="1"/>
    <xf numFmtId="0" fontId="0" fillId="8" borderId="0" xfId="0" applyFill="1"/>
    <xf numFmtId="0" fontId="0" fillId="0" borderId="1" xfId="0" applyFill="1" applyBorder="1" applyAlignment="1">
      <alignment vertical="top" wrapText="1"/>
    </xf>
    <xf numFmtId="172" fontId="0" fillId="0" borderId="0" xfId="0" applyNumberFormat="1"/>
    <xf numFmtId="0" fontId="0" fillId="0" borderId="1" xfId="0" applyBorder="1" applyAlignment="1">
      <alignment vertical="top"/>
    </xf>
    <xf numFmtId="170" fontId="0" fillId="0" borderId="0" xfId="0" applyNumberFormat="1"/>
    <xf numFmtId="17" fontId="0" fillId="0" borderId="1" xfId="0" applyNumberFormat="1" applyBorder="1" applyAlignment="1">
      <alignment vertical="top"/>
    </xf>
    <xf numFmtId="0" fontId="0" fillId="0" borderId="13" xfId="0" applyBorder="1" applyAlignment="1">
      <alignment vertical="top"/>
    </xf>
    <xf numFmtId="10" fontId="0" fillId="0" borderId="9" xfId="1728" applyNumberFormat="1" applyFont="1" applyBorder="1" applyAlignment="1">
      <alignment vertical="top" wrapText="1"/>
    </xf>
    <xf numFmtId="2" fontId="0" fillId="0" borderId="14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2" fontId="0" fillId="0" borderId="15" xfId="0" applyNumberFormat="1" applyBorder="1" applyAlignment="1">
      <alignment vertical="top"/>
    </xf>
    <xf numFmtId="0" fontId="0" fillId="0" borderId="0" xfId="0" applyBorder="1"/>
    <xf numFmtId="2" fontId="0" fillId="0" borderId="16" xfId="0" applyNumberFormat="1" applyBorder="1" applyAlignment="1">
      <alignment vertical="top"/>
    </xf>
    <xf numFmtId="17" fontId="0" fillId="0" borderId="1" xfId="0" applyNumberFormat="1" applyBorder="1"/>
    <xf numFmtId="0" fontId="0" fillId="0" borderId="10" xfId="0" applyBorder="1"/>
    <xf numFmtId="0" fontId="0" fillId="0" borderId="1" xfId="0" applyFill="1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17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top"/>
    </xf>
    <xf numFmtId="17" fontId="33" fillId="8" borderId="1" xfId="0" applyNumberFormat="1" applyFont="1" applyFill="1" applyBorder="1" applyAlignment="1">
      <alignment horizontal="center" vertical="center"/>
    </xf>
    <xf numFmtId="2" fontId="33" fillId="8" borderId="1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right"/>
    </xf>
    <xf numFmtId="2" fontId="33" fillId="0" borderId="1" xfId="0" applyNumberFormat="1" applyFont="1" applyFill="1" applyBorder="1" applyAlignment="1">
      <alignment vertical="center"/>
    </xf>
    <xf numFmtId="17" fontId="35" fillId="0" borderId="1" xfId="0" applyNumberFormat="1" applyFont="1" applyBorder="1" applyAlignment="1">
      <alignment horizontal="center"/>
    </xf>
    <xf numFmtId="2" fontId="35" fillId="0" borderId="1" xfId="0" applyNumberFormat="1" applyFont="1" applyBorder="1" applyAlignment="1">
      <alignment horizontal="center"/>
    </xf>
    <xf numFmtId="2" fontId="36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Fill="1" applyBorder="1" applyAlignment="1">
      <alignment horizontal="center" vertical="center"/>
    </xf>
    <xf numFmtId="2" fontId="36" fillId="8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" fontId="36" fillId="0" borderId="1" xfId="0" applyNumberFormat="1" applyFont="1" applyBorder="1" applyAlignment="1">
      <alignment horizontal="center"/>
    </xf>
    <xf numFmtId="2" fontId="36" fillId="0" borderId="1" xfId="0" applyNumberFormat="1" applyFont="1" applyBorder="1" applyAlignment="1"/>
    <xf numFmtId="17" fontId="33" fillId="11" borderId="1" xfId="0" applyNumberFormat="1" applyFont="1" applyFill="1" applyBorder="1" applyAlignment="1">
      <alignment horizontal="center" vertical="center"/>
    </xf>
    <xf numFmtId="2" fontId="36" fillId="11" borderId="1" xfId="0" applyNumberFormat="1" applyFont="1" applyFill="1" applyBorder="1" applyAlignment="1">
      <alignment horizontal="center"/>
    </xf>
    <xf numFmtId="2" fontId="36" fillId="11" borderId="1" xfId="0" applyNumberFormat="1" applyFont="1" applyFill="1" applyBorder="1" applyAlignment="1">
      <alignment horizontal="center" vertical="center"/>
    </xf>
    <xf numFmtId="2" fontId="36" fillId="11" borderId="1" xfId="0" applyNumberFormat="1" applyFont="1" applyFill="1" applyBorder="1" applyAlignment="1"/>
    <xf numFmtId="2" fontId="33" fillId="11" borderId="1" xfId="0" applyNumberFormat="1" applyFont="1" applyFill="1" applyBorder="1" applyAlignment="1">
      <alignment vertical="center"/>
    </xf>
    <xf numFmtId="2" fontId="36" fillId="0" borderId="1" xfId="0" applyNumberFormat="1" applyFont="1" applyFill="1" applyBorder="1" applyAlignment="1"/>
    <xf numFmtId="2" fontId="36" fillId="0" borderId="13" xfId="0" applyNumberFormat="1" applyFont="1" applyBorder="1" applyAlignment="1">
      <alignment horizontal="center"/>
    </xf>
    <xf numFmtId="2" fontId="36" fillId="0" borderId="13" xfId="0" applyNumberFormat="1" applyFont="1" applyBorder="1" applyAlignment="1">
      <alignment horizontal="center" vertical="center"/>
    </xf>
    <xf numFmtId="173" fontId="33" fillId="0" borderId="1" xfId="0" applyNumberFormat="1" applyFont="1" applyFill="1" applyBorder="1" applyAlignment="1">
      <alignment vertical="center"/>
    </xf>
    <xf numFmtId="17" fontId="37" fillId="0" borderId="10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" fontId="37" fillId="0" borderId="1" xfId="0" applyNumberFormat="1" applyFont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36" fillId="0" borderId="0" xfId="0" applyNumberFormat="1" applyFont="1" applyFill="1" applyBorder="1" applyAlignment="1"/>
    <xf numFmtId="2" fontId="33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</cellXfs>
  <cellStyles count="1729">
    <cellStyle name="Body" xfId="2"/>
    <cellStyle name="Comma  - Style1" xfId="3"/>
    <cellStyle name="Comma 10" xfId="1712"/>
    <cellStyle name="Comma 11" xfId="1709"/>
    <cellStyle name="Comma 12" xfId="1706"/>
    <cellStyle name="Comma 13" xfId="1703"/>
    <cellStyle name="Comma 14" xfId="1700"/>
    <cellStyle name="Comma 15" xfId="1697"/>
    <cellStyle name="Comma 2" xfId="1682"/>
    <cellStyle name="Comma 3" xfId="1684"/>
    <cellStyle name="Comma 4" xfId="1687"/>
    <cellStyle name="Comma 5" xfId="1690"/>
    <cellStyle name="Comma 6" xfId="1724"/>
    <cellStyle name="Comma 7" xfId="1721"/>
    <cellStyle name="Comma 8" xfId="1718"/>
    <cellStyle name="Comma 9" xfId="1715"/>
    <cellStyle name="Comma0" xfId="4"/>
    <cellStyle name="Curren - Style2" xfId="5"/>
    <cellStyle name="Currency0" xfId="6"/>
    <cellStyle name="Currency0 2" xfId="7"/>
    <cellStyle name="Currency0 2 2" xfId="8"/>
    <cellStyle name="Cu䥤rency [0]_laroux_2_laroux_dimon" xfId="9"/>
    <cellStyle name="Date" xfId="10"/>
    <cellStyle name="Fixed" xfId="11"/>
    <cellStyle name="FORM" xfId="12"/>
    <cellStyle name="Grey" xfId="13"/>
    <cellStyle name="Header1" xfId="14"/>
    <cellStyle name="Header2" xfId="15"/>
    <cellStyle name="Heading 1 2" xfId="16"/>
    <cellStyle name="Heading 2 2" xfId="17"/>
    <cellStyle name="Heading1" xfId="18"/>
    <cellStyle name="Heading1 2" xfId="19"/>
    <cellStyle name="Heading1 2 2" xfId="20"/>
    <cellStyle name="HEADING2" xfId="21"/>
    <cellStyle name="HEADING2 2" xfId="22"/>
    <cellStyle name="Input [yellow]" xfId="23"/>
    <cellStyle name="no dec" xfId="24"/>
    <cellStyle name="Normal" xfId="0" builtinId="0"/>
    <cellStyle name="Normal - Style1" xfId="25"/>
    <cellStyle name="Normal 10" xfId="26"/>
    <cellStyle name="Normal 100" xfId="27"/>
    <cellStyle name="Normal 1000" xfId="28"/>
    <cellStyle name="Normal 1001" xfId="29"/>
    <cellStyle name="Normal 1002" xfId="30"/>
    <cellStyle name="Normal 1003" xfId="31"/>
    <cellStyle name="Normal 1004" xfId="32"/>
    <cellStyle name="Normal 1005" xfId="33"/>
    <cellStyle name="Normal 1006" xfId="34"/>
    <cellStyle name="Normal 1007" xfId="35"/>
    <cellStyle name="Normal 1008" xfId="36"/>
    <cellStyle name="Normal 1009" xfId="37"/>
    <cellStyle name="Normal 101" xfId="38"/>
    <cellStyle name="Normal 1010" xfId="39"/>
    <cellStyle name="Normal 1011" xfId="40"/>
    <cellStyle name="Normal 1012" xfId="41"/>
    <cellStyle name="Normal 1013" xfId="42"/>
    <cellStyle name="Normal 1014" xfId="43"/>
    <cellStyle name="Normal 1015" xfId="44"/>
    <cellStyle name="Normal 1016" xfId="45"/>
    <cellStyle name="Normal 1017" xfId="46"/>
    <cellStyle name="Normal 1018" xfId="47"/>
    <cellStyle name="Normal 1019" xfId="48"/>
    <cellStyle name="Normal 102" xfId="49"/>
    <cellStyle name="Normal 1020" xfId="50"/>
    <cellStyle name="Normal 1021" xfId="51"/>
    <cellStyle name="Normal 1022" xfId="52"/>
    <cellStyle name="Normal 1023" xfId="53"/>
    <cellStyle name="Normal 1024" xfId="54"/>
    <cellStyle name="Normal 1025" xfId="55"/>
    <cellStyle name="Normal 1026" xfId="56"/>
    <cellStyle name="Normal 1027" xfId="57"/>
    <cellStyle name="Normal 1028" xfId="58"/>
    <cellStyle name="Normal 1029" xfId="59"/>
    <cellStyle name="Normal 103" xfId="60"/>
    <cellStyle name="Normal 1030" xfId="61"/>
    <cellStyle name="Normal 1031" xfId="62"/>
    <cellStyle name="Normal 1032" xfId="63"/>
    <cellStyle name="Normal 1033" xfId="64"/>
    <cellStyle name="Normal 1034" xfId="65"/>
    <cellStyle name="Normal 1035" xfId="66"/>
    <cellStyle name="Normal 1036" xfId="67"/>
    <cellStyle name="Normal 1037" xfId="68"/>
    <cellStyle name="Normal 1038" xfId="69"/>
    <cellStyle name="Normal 1039" xfId="70"/>
    <cellStyle name="Normal 104" xfId="71"/>
    <cellStyle name="Normal 1040" xfId="72"/>
    <cellStyle name="Normal 1041" xfId="73"/>
    <cellStyle name="Normal 1042" xfId="74"/>
    <cellStyle name="Normal 1043" xfId="75"/>
    <cellStyle name="Normal 1044" xfId="76"/>
    <cellStyle name="Normal 1045" xfId="77"/>
    <cellStyle name="Normal 1046" xfId="78"/>
    <cellStyle name="Normal 1047" xfId="79"/>
    <cellStyle name="Normal 1048" xfId="80"/>
    <cellStyle name="Normal 1049" xfId="81"/>
    <cellStyle name="Normal 105" xfId="82"/>
    <cellStyle name="Normal 1050" xfId="83"/>
    <cellStyle name="Normal 1051" xfId="84"/>
    <cellStyle name="Normal 1052" xfId="85"/>
    <cellStyle name="Normal 1053" xfId="86"/>
    <cellStyle name="Normal 1054" xfId="87"/>
    <cellStyle name="Normal 1055" xfId="88"/>
    <cellStyle name="Normal 1056" xfId="89"/>
    <cellStyle name="Normal 1057" xfId="90"/>
    <cellStyle name="Normal 1058" xfId="91"/>
    <cellStyle name="Normal 1059" xfId="92"/>
    <cellStyle name="Normal 106" xfId="93"/>
    <cellStyle name="Normal 1060" xfId="94"/>
    <cellStyle name="Normal 1061" xfId="95"/>
    <cellStyle name="Normal 1062" xfId="96"/>
    <cellStyle name="Normal 1063" xfId="97"/>
    <cellStyle name="Normal 1064" xfId="98"/>
    <cellStyle name="Normal 1065" xfId="99"/>
    <cellStyle name="Normal 1066" xfId="100"/>
    <cellStyle name="Normal 1067" xfId="101"/>
    <cellStyle name="Normal 1068" xfId="102"/>
    <cellStyle name="Normal 1069" xfId="103"/>
    <cellStyle name="Normal 107" xfId="104"/>
    <cellStyle name="Normal 1070" xfId="105"/>
    <cellStyle name="Normal 1071" xfId="106"/>
    <cellStyle name="Normal 1072" xfId="107"/>
    <cellStyle name="Normal 1073" xfId="108"/>
    <cellStyle name="Normal 1074" xfId="109"/>
    <cellStyle name="Normal 1075" xfId="110"/>
    <cellStyle name="Normal 1076" xfId="111"/>
    <cellStyle name="Normal 1077" xfId="112"/>
    <cellStyle name="Normal 1078" xfId="113"/>
    <cellStyle name="Normal 1079" xfId="114"/>
    <cellStyle name="Normal 108" xfId="115"/>
    <cellStyle name="Normal 1080" xfId="116"/>
    <cellStyle name="Normal 1081" xfId="117"/>
    <cellStyle name="Normal 1082" xfId="118"/>
    <cellStyle name="Normal 1083" xfId="119"/>
    <cellStyle name="Normal 1084" xfId="120"/>
    <cellStyle name="Normal 1085" xfId="121"/>
    <cellStyle name="Normal 1086" xfId="122"/>
    <cellStyle name="Normal 1087" xfId="123"/>
    <cellStyle name="Normal 1088" xfId="124"/>
    <cellStyle name="Normal 1089" xfId="125"/>
    <cellStyle name="Normal 109" xfId="126"/>
    <cellStyle name="Normal 1090" xfId="127"/>
    <cellStyle name="Normal 1091" xfId="128"/>
    <cellStyle name="Normal 1092" xfId="129"/>
    <cellStyle name="Normal 1093" xfId="130"/>
    <cellStyle name="Normal 1094" xfId="131"/>
    <cellStyle name="Normal 1095" xfId="132"/>
    <cellStyle name="Normal 1096" xfId="133"/>
    <cellStyle name="Normal 1097" xfId="134"/>
    <cellStyle name="Normal 1098" xfId="135"/>
    <cellStyle name="Normal 1099" xfId="136"/>
    <cellStyle name="Normal 11" xfId="137"/>
    <cellStyle name="Normal 110" xfId="138"/>
    <cellStyle name="Normal 1100" xfId="139"/>
    <cellStyle name="Normal 1101" xfId="140"/>
    <cellStyle name="Normal 1102" xfId="141"/>
    <cellStyle name="Normal 1103" xfId="142"/>
    <cellStyle name="Normal 1104" xfId="143"/>
    <cellStyle name="Normal 1105" xfId="144"/>
    <cellStyle name="Normal 1106" xfId="145"/>
    <cellStyle name="Normal 1107" xfId="146"/>
    <cellStyle name="Normal 1108" xfId="147"/>
    <cellStyle name="Normal 1109" xfId="148"/>
    <cellStyle name="Normal 111" xfId="149"/>
    <cellStyle name="Normal 1110" xfId="150"/>
    <cellStyle name="Normal 1111" xfId="151"/>
    <cellStyle name="Normal 1112" xfId="152"/>
    <cellStyle name="Normal 1113" xfId="153"/>
    <cellStyle name="Normal 1114" xfId="154"/>
    <cellStyle name="Normal 1115" xfId="155"/>
    <cellStyle name="Normal 1116" xfId="156"/>
    <cellStyle name="Normal 1117" xfId="157"/>
    <cellStyle name="Normal 1118" xfId="158"/>
    <cellStyle name="Normal 1119" xfId="159"/>
    <cellStyle name="Normal 112" xfId="160"/>
    <cellStyle name="Normal 1120" xfId="161"/>
    <cellStyle name="Normal 1121" xfId="162"/>
    <cellStyle name="Normal 1122" xfId="163"/>
    <cellStyle name="Normal 1123" xfId="164"/>
    <cellStyle name="Normal 1124" xfId="165"/>
    <cellStyle name="Normal 1125" xfId="166"/>
    <cellStyle name="Normal 1126" xfId="167"/>
    <cellStyle name="Normal 1127" xfId="168"/>
    <cellStyle name="Normal 1128" xfId="169"/>
    <cellStyle name="Normal 1129" xfId="170"/>
    <cellStyle name="Normal 113" xfId="171"/>
    <cellStyle name="Normal 1130" xfId="172"/>
    <cellStyle name="Normal 1131" xfId="173"/>
    <cellStyle name="Normal 1132" xfId="174"/>
    <cellStyle name="Normal 1133" xfId="175"/>
    <cellStyle name="Normal 1134" xfId="176"/>
    <cellStyle name="Normal 1135" xfId="177"/>
    <cellStyle name="Normal 1136" xfId="178"/>
    <cellStyle name="Normal 1137" xfId="179"/>
    <cellStyle name="Normal 1138" xfId="180"/>
    <cellStyle name="Normal 1139" xfId="181"/>
    <cellStyle name="Normal 114" xfId="182"/>
    <cellStyle name="Normal 1140" xfId="183"/>
    <cellStyle name="Normal 1141" xfId="184"/>
    <cellStyle name="Normal 1142" xfId="185"/>
    <cellStyle name="Normal 1143" xfId="186"/>
    <cellStyle name="Normal 1144" xfId="187"/>
    <cellStyle name="Normal 1145" xfId="188"/>
    <cellStyle name="Normal 1146" xfId="189"/>
    <cellStyle name="Normal 1147" xfId="190"/>
    <cellStyle name="Normal 1148" xfId="191"/>
    <cellStyle name="Normal 1149" xfId="192"/>
    <cellStyle name="Normal 115" xfId="193"/>
    <cellStyle name="Normal 1150" xfId="194"/>
    <cellStyle name="Normal 1151" xfId="195"/>
    <cellStyle name="Normal 1152" xfId="196"/>
    <cellStyle name="Normal 1153" xfId="197"/>
    <cellStyle name="Normal 1154" xfId="198"/>
    <cellStyle name="Normal 1155" xfId="199"/>
    <cellStyle name="Normal 1156" xfId="200"/>
    <cellStyle name="Normal 1157" xfId="201"/>
    <cellStyle name="Normal 1158" xfId="202"/>
    <cellStyle name="Normal 1159" xfId="203"/>
    <cellStyle name="Normal 116" xfId="204"/>
    <cellStyle name="Normal 1160" xfId="205"/>
    <cellStyle name="Normal 1161" xfId="206"/>
    <cellStyle name="Normal 1162" xfId="207"/>
    <cellStyle name="Normal 1163" xfId="208"/>
    <cellStyle name="Normal 1164" xfId="209"/>
    <cellStyle name="Normal 1165" xfId="210"/>
    <cellStyle name="Normal 1166" xfId="211"/>
    <cellStyle name="Normal 1167" xfId="212"/>
    <cellStyle name="Normal 1168" xfId="213"/>
    <cellStyle name="Normal 1169" xfId="214"/>
    <cellStyle name="Normal 117" xfId="215"/>
    <cellStyle name="Normal 1170" xfId="216"/>
    <cellStyle name="Normal 1171" xfId="217"/>
    <cellStyle name="Normal 1172" xfId="218"/>
    <cellStyle name="Normal 1173" xfId="219"/>
    <cellStyle name="Normal 1174" xfId="220"/>
    <cellStyle name="Normal 1175" xfId="221"/>
    <cellStyle name="Normal 1176" xfId="222"/>
    <cellStyle name="Normal 1177" xfId="223"/>
    <cellStyle name="Normal 1178" xfId="224"/>
    <cellStyle name="Normal 1179" xfId="225"/>
    <cellStyle name="Normal 118" xfId="226"/>
    <cellStyle name="Normal 1180" xfId="227"/>
    <cellStyle name="Normal 1181" xfId="228"/>
    <cellStyle name="Normal 1182" xfId="229"/>
    <cellStyle name="Normal 1183" xfId="230"/>
    <cellStyle name="Normal 1184" xfId="231"/>
    <cellStyle name="Normal 1185" xfId="232"/>
    <cellStyle name="Normal 1186" xfId="233"/>
    <cellStyle name="Normal 1187" xfId="234"/>
    <cellStyle name="Normal 1188" xfId="235"/>
    <cellStyle name="Normal 1189" xfId="236"/>
    <cellStyle name="Normal 119" xfId="237"/>
    <cellStyle name="Normal 1190" xfId="238"/>
    <cellStyle name="Normal 1191" xfId="239"/>
    <cellStyle name="Normal 1192" xfId="240"/>
    <cellStyle name="Normal 1193" xfId="241"/>
    <cellStyle name="Normal 1194" xfId="242"/>
    <cellStyle name="Normal 1195" xfId="243"/>
    <cellStyle name="Normal 1196" xfId="244"/>
    <cellStyle name="Normal 1197" xfId="245"/>
    <cellStyle name="Normal 1198" xfId="246"/>
    <cellStyle name="Normal 1199" xfId="247"/>
    <cellStyle name="Normal 12" xfId="248"/>
    <cellStyle name="Normal 120" xfId="249"/>
    <cellStyle name="Normal 1200" xfId="250"/>
    <cellStyle name="Normal 1201" xfId="251"/>
    <cellStyle name="Normal 1202" xfId="252"/>
    <cellStyle name="Normal 1203" xfId="253"/>
    <cellStyle name="Normal 1204" xfId="254"/>
    <cellStyle name="Normal 1205" xfId="255"/>
    <cellStyle name="Normal 1206" xfId="256"/>
    <cellStyle name="Normal 1207" xfId="257"/>
    <cellStyle name="Normal 1208" xfId="258"/>
    <cellStyle name="Normal 1209" xfId="259"/>
    <cellStyle name="Normal 121" xfId="260"/>
    <cellStyle name="Normal 1210" xfId="261"/>
    <cellStyle name="Normal 1211" xfId="262"/>
    <cellStyle name="Normal 1212" xfId="263"/>
    <cellStyle name="Normal 1213" xfId="264"/>
    <cellStyle name="Normal 1214" xfId="265"/>
    <cellStyle name="Normal 1215" xfId="266"/>
    <cellStyle name="Normal 1216" xfId="267"/>
    <cellStyle name="Normal 1217" xfId="268"/>
    <cellStyle name="Normal 1218" xfId="269"/>
    <cellStyle name="Normal 1219" xfId="270"/>
    <cellStyle name="Normal 122" xfId="271"/>
    <cellStyle name="Normal 1220" xfId="272"/>
    <cellStyle name="Normal 1221" xfId="273"/>
    <cellStyle name="Normal 1222" xfId="274"/>
    <cellStyle name="Normal 1223" xfId="275"/>
    <cellStyle name="Normal 1224" xfId="276"/>
    <cellStyle name="Normal 1225" xfId="277"/>
    <cellStyle name="Normal 1226" xfId="278"/>
    <cellStyle name="Normal 1227" xfId="279"/>
    <cellStyle name="Normal 1228" xfId="280"/>
    <cellStyle name="Normal 1229" xfId="281"/>
    <cellStyle name="Normal 123" xfId="282"/>
    <cellStyle name="Normal 1230" xfId="283"/>
    <cellStyle name="Normal 1231" xfId="284"/>
    <cellStyle name="Normal 1232" xfId="285"/>
    <cellStyle name="Normal 1233" xfId="286"/>
    <cellStyle name="Normal 1234" xfId="287"/>
    <cellStyle name="Normal 1235" xfId="288"/>
    <cellStyle name="Normal 1236" xfId="289"/>
    <cellStyle name="Normal 1237" xfId="290"/>
    <cellStyle name="Normal 1238" xfId="291"/>
    <cellStyle name="Normal 1239" xfId="292"/>
    <cellStyle name="Normal 124" xfId="293"/>
    <cellStyle name="Normal 1240" xfId="294"/>
    <cellStyle name="Normal 1241" xfId="295"/>
    <cellStyle name="Normal 1242" xfId="296"/>
    <cellStyle name="Normal 1243" xfId="297"/>
    <cellStyle name="Normal 1244" xfId="298"/>
    <cellStyle name="Normal 1245" xfId="299"/>
    <cellStyle name="Normal 1246" xfId="300"/>
    <cellStyle name="Normal 1247" xfId="301"/>
    <cellStyle name="Normal 1248" xfId="302"/>
    <cellStyle name="Normal 1249" xfId="303"/>
    <cellStyle name="Normal 125" xfId="304"/>
    <cellStyle name="Normal 1250" xfId="305"/>
    <cellStyle name="Normal 1251" xfId="306"/>
    <cellStyle name="Normal 1252" xfId="307"/>
    <cellStyle name="Normal 1253" xfId="308"/>
    <cellStyle name="Normal 1254" xfId="309"/>
    <cellStyle name="Normal 1255" xfId="310"/>
    <cellStyle name="Normal 1256" xfId="311"/>
    <cellStyle name="Normal 1257" xfId="312"/>
    <cellStyle name="Normal 1258" xfId="313"/>
    <cellStyle name="Normal 1259" xfId="314"/>
    <cellStyle name="Normal 126" xfId="315"/>
    <cellStyle name="Normal 1260" xfId="316"/>
    <cellStyle name="Normal 1261" xfId="317"/>
    <cellStyle name="Normal 1262" xfId="318"/>
    <cellStyle name="Normal 1263" xfId="319"/>
    <cellStyle name="Normal 1264" xfId="320"/>
    <cellStyle name="Normal 1265" xfId="321"/>
    <cellStyle name="Normal 1266" xfId="322"/>
    <cellStyle name="Normal 1267" xfId="323"/>
    <cellStyle name="Normal 1268" xfId="324"/>
    <cellStyle name="Normal 1269" xfId="325"/>
    <cellStyle name="Normal 127" xfId="326"/>
    <cellStyle name="Normal 1270" xfId="327"/>
    <cellStyle name="Normal 1271" xfId="328"/>
    <cellStyle name="Normal 1272" xfId="329"/>
    <cellStyle name="Normal 1273" xfId="330"/>
    <cellStyle name="Normal 1274" xfId="331"/>
    <cellStyle name="Normal 1275" xfId="332"/>
    <cellStyle name="Normal 1276" xfId="333"/>
    <cellStyle name="Normal 1277" xfId="334"/>
    <cellStyle name="Normal 1278" xfId="335"/>
    <cellStyle name="Normal 1279" xfId="336"/>
    <cellStyle name="Normal 128" xfId="337"/>
    <cellStyle name="Normal 1280" xfId="338"/>
    <cellStyle name="Normal 1281" xfId="339"/>
    <cellStyle name="Normal 1282" xfId="340"/>
    <cellStyle name="Normal 1283" xfId="341"/>
    <cellStyle name="Normal 1284" xfId="342"/>
    <cellStyle name="Normal 1285" xfId="343"/>
    <cellStyle name="Normal 1286" xfId="344"/>
    <cellStyle name="Normal 1287" xfId="345"/>
    <cellStyle name="Normal 1288" xfId="346"/>
    <cellStyle name="Normal 1289" xfId="347"/>
    <cellStyle name="Normal 129" xfId="348"/>
    <cellStyle name="Normal 1290" xfId="349"/>
    <cellStyle name="Normal 1291" xfId="350"/>
    <cellStyle name="Normal 1292" xfId="351"/>
    <cellStyle name="Normal 1293" xfId="352"/>
    <cellStyle name="Normal 1294" xfId="353"/>
    <cellStyle name="Normal 1295" xfId="354"/>
    <cellStyle name="Normal 1296" xfId="355"/>
    <cellStyle name="Normal 1297" xfId="356"/>
    <cellStyle name="Normal 1298" xfId="357"/>
    <cellStyle name="Normal 1299" xfId="358"/>
    <cellStyle name="Normal 13" xfId="359"/>
    <cellStyle name="Normal 130" xfId="360"/>
    <cellStyle name="Normal 1300" xfId="361"/>
    <cellStyle name="Normal 1301" xfId="362"/>
    <cellStyle name="Normal 1302" xfId="363"/>
    <cellStyle name="Normal 1303" xfId="364"/>
    <cellStyle name="Normal 1304" xfId="365"/>
    <cellStyle name="Normal 1305" xfId="366"/>
    <cellStyle name="Normal 1306" xfId="367"/>
    <cellStyle name="Normal 1307" xfId="368"/>
    <cellStyle name="Normal 1308" xfId="369"/>
    <cellStyle name="Normal 1309" xfId="370"/>
    <cellStyle name="Normal 131" xfId="371"/>
    <cellStyle name="Normal 1310" xfId="372"/>
    <cellStyle name="Normal 1311" xfId="373"/>
    <cellStyle name="Normal 1312" xfId="374"/>
    <cellStyle name="Normal 1313" xfId="375"/>
    <cellStyle name="Normal 1314" xfId="376"/>
    <cellStyle name="Normal 1315" xfId="377"/>
    <cellStyle name="Normal 1316" xfId="378"/>
    <cellStyle name="Normal 1317" xfId="379"/>
    <cellStyle name="Normal 1318" xfId="380"/>
    <cellStyle name="Normal 1319" xfId="381"/>
    <cellStyle name="Normal 132" xfId="382"/>
    <cellStyle name="Normal 1320" xfId="383"/>
    <cellStyle name="Normal 1321" xfId="384"/>
    <cellStyle name="Normal 1322" xfId="385"/>
    <cellStyle name="Normal 1323" xfId="386"/>
    <cellStyle name="Normal 1324" xfId="387"/>
    <cellStyle name="Normal 1325" xfId="388"/>
    <cellStyle name="Normal 1326" xfId="389"/>
    <cellStyle name="Normal 1327" xfId="390"/>
    <cellStyle name="Normal 1328" xfId="391"/>
    <cellStyle name="Normal 1329" xfId="392"/>
    <cellStyle name="Normal 133" xfId="393"/>
    <cellStyle name="Normal 1330" xfId="394"/>
    <cellStyle name="Normal 1331" xfId="395"/>
    <cellStyle name="Normal 1332" xfId="396"/>
    <cellStyle name="Normal 1333" xfId="397"/>
    <cellStyle name="Normal 1334" xfId="398"/>
    <cellStyle name="Normal 1335" xfId="399"/>
    <cellStyle name="Normal 1336" xfId="400"/>
    <cellStyle name="Normal 1337" xfId="401"/>
    <cellStyle name="Normal 1338" xfId="402"/>
    <cellStyle name="Normal 1339" xfId="403"/>
    <cellStyle name="Normal 134" xfId="404"/>
    <cellStyle name="Normal 1340" xfId="405"/>
    <cellStyle name="Normal 1341" xfId="406"/>
    <cellStyle name="Normal 1342" xfId="407"/>
    <cellStyle name="Normal 1343" xfId="408"/>
    <cellStyle name="Normal 1344" xfId="409"/>
    <cellStyle name="Normal 1345" xfId="410"/>
    <cellStyle name="Normal 1346" xfId="411"/>
    <cellStyle name="Normal 1347" xfId="412"/>
    <cellStyle name="Normal 1348" xfId="413"/>
    <cellStyle name="Normal 1349" xfId="414"/>
    <cellStyle name="Normal 135" xfId="415"/>
    <cellStyle name="Normal 1350" xfId="416"/>
    <cellStyle name="Normal 1351" xfId="417"/>
    <cellStyle name="Normal 1352" xfId="418"/>
    <cellStyle name="Normal 1353" xfId="419"/>
    <cellStyle name="Normal 1354" xfId="420"/>
    <cellStyle name="Normal 1355" xfId="421"/>
    <cellStyle name="Normal 1356" xfId="422"/>
    <cellStyle name="Normal 1357" xfId="423"/>
    <cellStyle name="Normal 1358" xfId="424"/>
    <cellStyle name="Normal 1359" xfId="425"/>
    <cellStyle name="Normal 136" xfId="426"/>
    <cellStyle name="Normal 1360" xfId="427"/>
    <cellStyle name="Normal 1361" xfId="428"/>
    <cellStyle name="Normal 1362" xfId="429"/>
    <cellStyle name="Normal 1363" xfId="430"/>
    <cellStyle name="Normal 1364" xfId="431"/>
    <cellStyle name="Normal 1365" xfId="432"/>
    <cellStyle name="Normal 1366" xfId="433"/>
    <cellStyle name="Normal 1367" xfId="434"/>
    <cellStyle name="Normal 1368" xfId="435"/>
    <cellStyle name="Normal 1369" xfId="436"/>
    <cellStyle name="Normal 137" xfId="437"/>
    <cellStyle name="Normal 1370" xfId="438"/>
    <cellStyle name="Normal 1371" xfId="439"/>
    <cellStyle name="Normal 1372" xfId="440"/>
    <cellStyle name="Normal 1373" xfId="441"/>
    <cellStyle name="Normal 1374" xfId="442"/>
    <cellStyle name="Normal 1375" xfId="443"/>
    <cellStyle name="Normal 1376" xfId="444"/>
    <cellStyle name="Normal 1377" xfId="445"/>
    <cellStyle name="Normal 1378" xfId="446"/>
    <cellStyle name="Normal 1379" xfId="447"/>
    <cellStyle name="Normal 138" xfId="448"/>
    <cellStyle name="Normal 1380" xfId="449"/>
    <cellStyle name="Normal 1381" xfId="450"/>
    <cellStyle name="Normal 1382" xfId="451"/>
    <cellStyle name="Normal 1383" xfId="452"/>
    <cellStyle name="Normal 1384" xfId="453"/>
    <cellStyle name="Normal 1385" xfId="454"/>
    <cellStyle name="Normal 1386" xfId="455"/>
    <cellStyle name="Normal 1387" xfId="456"/>
    <cellStyle name="Normal 1388" xfId="457"/>
    <cellStyle name="Normal 1389" xfId="458"/>
    <cellStyle name="Normal 139" xfId="459"/>
    <cellStyle name="Normal 1390" xfId="460"/>
    <cellStyle name="Normal 1391" xfId="461"/>
    <cellStyle name="Normal 1392" xfId="462"/>
    <cellStyle name="Normal 1393" xfId="463"/>
    <cellStyle name="Normal 1394" xfId="464"/>
    <cellStyle name="Normal 1395" xfId="465"/>
    <cellStyle name="Normal 1396" xfId="466"/>
    <cellStyle name="Normal 1397" xfId="467"/>
    <cellStyle name="Normal 1398" xfId="468"/>
    <cellStyle name="Normal 1399" xfId="469"/>
    <cellStyle name="Normal 14" xfId="470"/>
    <cellStyle name="Normal 140" xfId="471"/>
    <cellStyle name="Normal 1400" xfId="472"/>
    <cellStyle name="Normal 1401" xfId="473"/>
    <cellStyle name="Normal 1402" xfId="474"/>
    <cellStyle name="Normal 1403" xfId="475"/>
    <cellStyle name="Normal 1404" xfId="476"/>
    <cellStyle name="Normal 1405" xfId="477"/>
    <cellStyle name="Normal 1406" xfId="478"/>
    <cellStyle name="Normal 1407" xfId="479"/>
    <cellStyle name="Normal 1408" xfId="480"/>
    <cellStyle name="Normal 1409" xfId="481"/>
    <cellStyle name="Normal 141" xfId="482"/>
    <cellStyle name="Normal 1410" xfId="483"/>
    <cellStyle name="Normal 1411" xfId="484"/>
    <cellStyle name="Normal 1412" xfId="485"/>
    <cellStyle name="Normal 1413" xfId="486"/>
    <cellStyle name="Normal 1414" xfId="487"/>
    <cellStyle name="Normal 1415" xfId="488"/>
    <cellStyle name="Normal 1416" xfId="489"/>
    <cellStyle name="Normal 1417" xfId="490"/>
    <cellStyle name="Normal 1418" xfId="491"/>
    <cellStyle name="Normal 1419" xfId="492"/>
    <cellStyle name="Normal 142" xfId="493"/>
    <cellStyle name="Normal 1420" xfId="494"/>
    <cellStyle name="Normal 1421" xfId="495"/>
    <cellStyle name="Normal 1422" xfId="496"/>
    <cellStyle name="Normal 1423" xfId="497"/>
    <cellStyle name="Normal 1424" xfId="498"/>
    <cellStyle name="Normal 1425" xfId="499"/>
    <cellStyle name="Normal 1426" xfId="500"/>
    <cellStyle name="Normal 1427" xfId="501"/>
    <cellStyle name="Normal 1428" xfId="502"/>
    <cellStyle name="Normal 1429" xfId="503"/>
    <cellStyle name="Normal 143" xfId="504"/>
    <cellStyle name="Normal 1430" xfId="505"/>
    <cellStyle name="Normal 1431" xfId="506"/>
    <cellStyle name="Normal 1432" xfId="507"/>
    <cellStyle name="Normal 1433" xfId="508"/>
    <cellStyle name="Normal 1434" xfId="509"/>
    <cellStyle name="Normal 1435" xfId="510"/>
    <cellStyle name="Normal 1436" xfId="511"/>
    <cellStyle name="Normal 1437" xfId="512"/>
    <cellStyle name="Normal 1438" xfId="513"/>
    <cellStyle name="Normal 1439" xfId="514"/>
    <cellStyle name="Normal 144" xfId="515"/>
    <cellStyle name="Normal 1440" xfId="516"/>
    <cellStyle name="Normal 1441" xfId="517"/>
    <cellStyle name="Normal 1442" xfId="518"/>
    <cellStyle name="Normal 1443" xfId="519"/>
    <cellStyle name="Normal 1444" xfId="520"/>
    <cellStyle name="Normal 1445" xfId="521"/>
    <cellStyle name="Normal 1446" xfId="522"/>
    <cellStyle name="Normal 1447" xfId="523"/>
    <cellStyle name="Normal 1448" xfId="524"/>
    <cellStyle name="Normal 1449" xfId="525"/>
    <cellStyle name="Normal 145" xfId="526"/>
    <cellStyle name="Normal 1450" xfId="527"/>
    <cellStyle name="Normal 1451" xfId="528"/>
    <cellStyle name="Normal 1452" xfId="529"/>
    <cellStyle name="Normal 1453" xfId="530"/>
    <cellStyle name="Normal 1454" xfId="531"/>
    <cellStyle name="Normal 1455" xfId="532"/>
    <cellStyle name="Normal 1456" xfId="533"/>
    <cellStyle name="Normal 1457" xfId="534"/>
    <cellStyle name="Normal 1458" xfId="535"/>
    <cellStyle name="Normal 1459" xfId="536"/>
    <cellStyle name="Normal 146" xfId="537"/>
    <cellStyle name="Normal 1460" xfId="538"/>
    <cellStyle name="Normal 1461" xfId="539"/>
    <cellStyle name="Normal 1462" xfId="540"/>
    <cellStyle name="Normal 1463" xfId="541"/>
    <cellStyle name="Normal 1464" xfId="542"/>
    <cellStyle name="Normal 1465" xfId="543"/>
    <cellStyle name="Normal 1466" xfId="544"/>
    <cellStyle name="Normal 1467" xfId="545"/>
    <cellStyle name="Normal 1468" xfId="546"/>
    <cellStyle name="Normal 1469" xfId="547"/>
    <cellStyle name="Normal 147" xfId="548"/>
    <cellStyle name="Normal 1470" xfId="549"/>
    <cellStyle name="Normal 1471" xfId="550"/>
    <cellStyle name="Normal 1472" xfId="551"/>
    <cellStyle name="Normal 1473" xfId="552"/>
    <cellStyle name="Normal 1474" xfId="553"/>
    <cellStyle name="Normal 1475" xfId="554"/>
    <cellStyle name="Normal 1476" xfId="555"/>
    <cellStyle name="Normal 1477" xfId="556"/>
    <cellStyle name="Normal 1478" xfId="557"/>
    <cellStyle name="Normal 1479" xfId="558"/>
    <cellStyle name="Normal 148" xfId="559"/>
    <cellStyle name="Normal 1480" xfId="560"/>
    <cellStyle name="Normal 1481" xfId="561"/>
    <cellStyle name="Normal 1482" xfId="562"/>
    <cellStyle name="Normal 1483" xfId="563"/>
    <cellStyle name="Normal 1484" xfId="564"/>
    <cellStyle name="Normal 1485" xfId="565"/>
    <cellStyle name="Normal 1486" xfId="566"/>
    <cellStyle name="Normal 1487" xfId="567"/>
    <cellStyle name="Normal 1488" xfId="568"/>
    <cellStyle name="Normal 1489" xfId="569"/>
    <cellStyle name="Normal 149" xfId="570"/>
    <cellStyle name="Normal 1490" xfId="571"/>
    <cellStyle name="Normal 1491" xfId="572"/>
    <cellStyle name="Normal 1492" xfId="573"/>
    <cellStyle name="Normal 1493" xfId="574"/>
    <cellStyle name="Normal 1494" xfId="575"/>
    <cellStyle name="Normal 1495" xfId="576"/>
    <cellStyle name="Normal 1496" xfId="577"/>
    <cellStyle name="Normal 1497" xfId="578"/>
    <cellStyle name="Normal 1498" xfId="579"/>
    <cellStyle name="Normal 1499" xfId="580"/>
    <cellStyle name="Normal 15" xfId="581"/>
    <cellStyle name="Normal 150" xfId="582"/>
    <cellStyle name="Normal 1500" xfId="583"/>
    <cellStyle name="Normal 1501" xfId="584"/>
    <cellStyle name="Normal 1502" xfId="585"/>
    <cellStyle name="Normal 1503" xfId="586"/>
    <cellStyle name="Normal 1504" xfId="587"/>
    <cellStyle name="Normal 1505" xfId="588"/>
    <cellStyle name="Normal 1506" xfId="589"/>
    <cellStyle name="Normal 1507" xfId="590"/>
    <cellStyle name="Normal 1508" xfId="591"/>
    <cellStyle name="Normal 1509" xfId="592"/>
    <cellStyle name="Normal 151" xfId="593"/>
    <cellStyle name="Normal 1510" xfId="594"/>
    <cellStyle name="Normal 1511" xfId="595"/>
    <cellStyle name="Normal 1512" xfId="596"/>
    <cellStyle name="Normal 1513" xfId="597"/>
    <cellStyle name="Normal 1514" xfId="598"/>
    <cellStyle name="Normal 1515" xfId="599"/>
    <cellStyle name="Normal 1516" xfId="600"/>
    <cellStyle name="Normal 1517" xfId="601"/>
    <cellStyle name="Normal 1518" xfId="602"/>
    <cellStyle name="Normal 1519" xfId="603"/>
    <cellStyle name="Normal 152" xfId="604"/>
    <cellStyle name="Normal 1520" xfId="605"/>
    <cellStyle name="Normal 1521" xfId="606"/>
    <cellStyle name="Normal 1522" xfId="607"/>
    <cellStyle name="Normal 1523" xfId="608"/>
    <cellStyle name="Normal 1524" xfId="609"/>
    <cellStyle name="Normal 1525" xfId="610"/>
    <cellStyle name="Normal 1526" xfId="611"/>
    <cellStyle name="Normal 1527" xfId="612"/>
    <cellStyle name="Normal 1528" xfId="613"/>
    <cellStyle name="Normal 1529" xfId="614"/>
    <cellStyle name="Normal 153" xfId="615"/>
    <cellStyle name="Normal 1530" xfId="616"/>
    <cellStyle name="Normal 1531" xfId="617"/>
    <cellStyle name="Normal 1532" xfId="618"/>
    <cellStyle name="Normal 1533" xfId="619"/>
    <cellStyle name="Normal 1534" xfId="620"/>
    <cellStyle name="Normal 1535" xfId="621"/>
    <cellStyle name="Normal 1536" xfId="1"/>
    <cellStyle name="Normal 1537" xfId="1683"/>
    <cellStyle name="Normal 1538" xfId="1686"/>
    <cellStyle name="Normal 1539" xfId="1689"/>
    <cellStyle name="Normal 154" xfId="622"/>
    <cellStyle name="Normal 1540" xfId="1692"/>
    <cellStyle name="Normal 1541" xfId="1725"/>
    <cellStyle name="Normal 1542" xfId="1722"/>
    <cellStyle name="Normal 1543" xfId="1719"/>
    <cellStyle name="Normal 1544" xfId="1716"/>
    <cellStyle name="Normal 1545" xfId="1713"/>
    <cellStyle name="Normal 1546" xfId="1710"/>
    <cellStyle name="Normal 1547" xfId="1707"/>
    <cellStyle name="Normal 1548" xfId="1704"/>
    <cellStyle name="Normal 1549" xfId="1701"/>
    <cellStyle name="Normal 155" xfId="623"/>
    <cellStyle name="Normal 1550" xfId="1698"/>
    <cellStyle name="Normal 1551" xfId="1726"/>
    <cellStyle name="Normal 1552" xfId="1727"/>
    <cellStyle name="Normal 156" xfId="624"/>
    <cellStyle name="Normal 157" xfId="625"/>
    <cellStyle name="Normal 158" xfId="626"/>
    <cellStyle name="Normal 159" xfId="627"/>
    <cellStyle name="Normal 16" xfId="628"/>
    <cellStyle name="Normal 160" xfId="629"/>
    <cellStyle name="Normal 161" xfId="630"/>
    <cellStyle name="Normal 162" xfId="631"/>
    <cellStyle name="Normal 163" xfId="632"/>
    <cellStyle name="Normal 164" xfId="633"/>
    <cellStyle name="Normal 165" xfId="634"/>
    <cellStyle name="Normal 166" xfId="635"/>
    <cellStyle name="Normal 167" xfId="636"/>
    <cellStyle name="Normal 168" xfId="637"/>
    <cellStyle name="Normal 169" xfId="638"/>
    <cellStyle name="Normal 17" xfId="639"/>
    <cellStyle name="Normal 170" xfId="640"/>
    <cellStyle name="Normal 171" xfId="641"/>
    <cellStyle name="Normal 172" xfId="642"/>
    <cellStyle name="Normal 173" xfId="643"/>
    <cellStyle name="Normal 174" xfId="644"/>
    <cellStyle name="Normal 175" xfId="645"/>
    <cellStyle name="Normal 176" xfId="646"/>
    <cellStyle name="Normal 177" xfId="647"/>
    <cellStyle name="Normal 178" xfId="648"/>
    <cellStyle name="Normal 179" xfId="649"/>
    <cellStyle name="Normal 18" xfId="650"/>
    <cellStyle name="Normal 180" xfId="651"/>
    <cellStyle name="Normal 181" xfId="652"/>
    <cellStyle name="Normal 182" xfId="653"/>
    <cellStyle name="Normal 183" xfId="654"/>
    <cellStyle name="Normal 184" xfId="655"/>
    <cellStyle name="Normal 185" xfId="656"/>
    <cellStyle name="Normal 186" xfId="657"/>
    <cellStyle name="Normal 187" xfId="658"/>
    <cellStyle name="Normal 188" xfId="659"/>
    <cellStyle name="Normal 189" xfId="660"/>
    <cellStyle name="Normal 19" xfId="661"/>
    <cellStyle name="Normal 190" xfId="662"/>
    <cellStyle name="Normal 191" xfId="663"/>
    <cellStyle name="Normal 192" xfId="664"/>
    <cellStyle name="Normal 193" xfId="665"/>
    <cellStyle name="Normal 194" xfId="666"/>
    <cellStyle name="Normal 195" xfId="667"/>
    <cellStyle name="Normal 196" xfId="668"/>
    <cellStyle name="Normal 197" xfId="669"/>
    <cellStyle name="Normal 198" xfId="670"/>
    <cellStyle name="Normal 199" xfId="671"/>
    <cellStyle name="Normal 2" xfId="672"/>
    <cellStyle name="Normal 2 2" xfId="1693"/>
    <cellStyle name="Normal 20" xfId="673"/>
    <cellStyle name="Normal 200" xfId="674"/>
    <cellStyle name="Normal 201" xfId="675"/>
    <cellStyle name="Normal 202" xfId="676"/>
    <cellStyle name="Normal 203" xfId="677"/>
    <cellStyle name="Normal 204" xfId="678"/>
    <cellStyle name="Normal 205" xfId="679"/>
    <cellStyle name="Normal 206" xfId="680"/>
    <cellStyle name="Normal 207" xfId="681"/>
    <cellStyle name="Normal 208" xfId="682"/>
    <cellStyle name="Normal 209" xfId="683"/>
    <cellStyle name="Normal 21" xfId="684"/>
    <cellStyle name="Normal 210" xfId="685"/>
    <cellStyle name="Normal 211" xfId="686"/>
    <cellStyle name="Normal 212" xfId="687"/>
    <cellStyle name="Normal 213" xfId="688"/>
    <cellStyle name="Normal 214" xfId="689"/>
    <cellStyle name="Normal 215" xfId="690"/>
    <cellStyle name="Normal 216" xfId="691"/>
    <cellStyle name="Normal 217" xfId="692"/>
    <cellStyle name="Normal 218" xfId="693"/>
    <cellStyle name="Normal 219" xfId="694"/>
    <cellStyle name="Normal 22" xfId="695"/>
    <cellStyle name="Normal 220" xfId="696"/>
    <cellStyle name="Normal 221" xfId="697"/>
    <cellStyle name="Normal 222" xfId="698"/>
    <cellStyle name="Normal 223" xfId="699"/>
    <cellStyle name="Normal 224" xfId="700"/>
    <cellStyle name="Normal 225" xfId="701"/>
    <cellStyle name="Normal 226" xfId="702"/>
    <cellStyle name="Normal 227" xfId="703"/>
    <cellStyle name="Normal 228" xfId="704"/>
    <cellStyle name="Normal 229" xfId="705"/>
    <cellStyle name="Normal 23" xfId="706"/>
    <cellStyle name="Normal 230" xfId="707"/>
    <cellStyle name="Normal 231" xfId="708"/>
    <cellStyle name="Normal 232" xfId="709"/>
    <cellStyle name="Normal 233" xfId="710"/>
    <cellStyle name="Normal 234" xfId="711"/>
    <cellStyle name="Normal 235" xfId="712"/>
    <cellStyle name="Normal 236" xfId="713"/>
    <cellStyle name="Normal 237" xfId="714"/>
    <cellStyle name="Normal 238" xfId="715"/>
    <cellStyle name="Normal 239" xfId="716"/>
    <cellStyle name="Normal 24" xfId="717"/>
    <cellStyle name="Normal 240" xfId="718"/>
    <cellStyle name="Normal 241" xfId="719"/>
    <cellStyle name="Normal 242" xfId="720"/>
    <cellStyle name="Normal 243" xfId="721"/>
    <cellStyle name="Normal 244" xfId="722"/>
    <cellStyle name="Normal 245" xfId="723"/>
    <cellStyle name="Normal 246" xfId="724"/>
    <cellStyle name="Normal 247" xfId="725"/>
    <cellStyle name="Normal 248" xfId="726"/>
    <cellStyle name="Normal 249" xfId="727"/>
    <cellStyle name="Normal 25" xfId="728"/>
    <cellStyle name="Normal 250" xfId="729"/>
    <cellStyle name="Normal 251" xfId="730"/>
    <cellStyle name="Normal 252" xfId="731"/>
    <cellStyle name="Normal 253" xfId="732"/>
    <cellStyle name="Normal 254" xfId="733"/>
    <cellStyle name="Normal 255" xfId="734"/>
    <cellStyle name="Normal 256" xfId="735"/>
    <cellStyle name="Normal 257" xfId="736"/>
    <cellStyle name="Normal 258" xfId="737"/>
    <cellStyle name="Normal 259" xfId="738"/>
    <cellStyle name="Normal 26" xfId="739"/>
    <cellStyle name="Normal 260" xfId="740"/>
    <cellStyle name="Normal 261" xfId="741"/>
    <cellStyle name="Normal 262" xfId="742"/>
    <cellStyle name="Normal 263" xfId="743"/>
    <cellStyle name="Normal 264" xfId="744"/>
    <cellStyle name="Normal 265" xfId="745"/>
    <cellStyle name="Normal 266" xfId="746"/>
    <cellStyle name="Normal 267" xfId="747"/>
    <cellStyle name="Normal 268" xfId="748"/>
    <cellStyle name="Normal 269" xfId="749"/>
    <cellStyle name="Normal 27" xfId="750"/>
    <cellStyle name="Normal 270" xfId="751"/>
    <cellStyle name="Normal 271" xfId="752"/>
    <cellStyle name="Normal 272" xfId="753"/>
    <cellStyle name="Normal 273" xfId="754"/>
    <cellStyle name="Normal 274" xfId="755"/>
    <cellStyle name="Normal 275" xfId="756"/>
    <cellStyle name="Normal 276" xfId="757"/>
    <cellStyle name="Normal 277" xfId="758"/>
    <cellStyle name="Normal 278" xfId="759"/>
    <cellStyle name="Normal 279" xfId="760"/>
    <cellStyle name="Normal 28" xfId="761"/>
    <cellStyle name="Normal 280" xfId="762"/>
    <cellStyle name="Normal 281" xfId="763"/>
    <cellStyle name="Normal 282" xfId="764"/>
    <cellStyle name="Normal 283" xfId="765"/>
    <cellStyle name="Normal 284" xfId="766"/>
    <cellStyle name="Normal 285" xfId="767"/>
    <cellStyle name="Normal 286" xfId="768"/>
    <cellStyle name="Normal 287" xfId="769"/>
    <cellStyle name="Normal 288" xfId="770"/>
    <cellStyle name="Normal 289" xfId="771"/>
    <cellStyle name="Normal 29" xfId="772"/>
    <cellStyle name="Normal 290" xfId="773"/>
    <cellStyle name="Normal 291" xfId="774"/>
    <cellStyle name="Normal 292" xfId="775"/>
    <cellStyle name="Normal 293" xfId="776"/>
    <cellStyle name="Normal 294" xfId="777"/>
    <cellStyle name="Normal 295" xfId="778"/>
    <cellStyle name="Normal 296" xfId="779"/>
    <cellStyle name="Normal 297" xfId="780"/>
    <cellStyle name="Normal 298" xfId="781"/>
    <cellStyle name="Normal 299" xfId="782"/>
    <cellStyle name="Normal 3" xfId="783"/>
    <cellStyle name="Normal 3 2" xfId="1694"/>
    <cellStyle name="Normal 30" xfId="784"/>
    <cellStyle name="Normal 300" xfId="785"/>
    <cellStyle name="Normal 301" xfId="786"/>
    <cellStyle name="Normal 302" xfId="787"/>
    <cellStyle name="Normal 303" xfId="788"/>
    <cellStyle name="Normal 304" xfId="789"/>
    <cellStyle name="Normal 305" xfId="790"/>
    <cellStyle name="Normal 306" xfId="791"/>
    <cellStyle name="Normal 307" xfId="792"/>
    <cellStyle name="Normal 308" xfId="793"/>
    <cellStyle name="Normal 309" xfId="794"/>
    <cellStyle name="Normal 31" xfId="795"/>
    <cellStyle name="Normal 310" xfId="796"/>
    <cellStyle name="Normal 311" xfId="797"/>
    <cellStyle name="Normal 312" xfId="798"/>
    <cellStyle name="Normal 313" xfId="799"/>
    <cellStyle name="Normal 314" xfId="800"/>
    <cellStyle name="Normal 315" xfId="801"/>
    <cellStyle name="Normal 316" xfId="802"/>
    <cellStyle name="Normal 317" xfId="803"/>
    <cellStyle name="Normal 318" xfId="804"/>
    <cellStyle name="Normal 319" xfId="805"/>
    <cellStyle name="Normal 32" xfId="806"/>
    <cellStyle name="Normal 320" xfId="807"/>
    <cellStyle name="Normal 321" xfId="808"/>
    <cellStyle name="Normal 322" xfId="809"/>
    <cellStyle name="Normal 323" xfId="810"/>
    <cellStyle name="Normal 324" xfId="811"/>
    <cellStyle name="Normal 325" xfId="812"/>
    <cellStyle name="Normal 326" xfId="813"/>
    <cellStyle name="Normal 327" xfId="814"/>
    <cellStyle name="Normal 328" xfId="815"/>
    <cellStyle name="Normal 329" xfId="816"/>
    <cellStyle name="Normal 33" xfId="817"/>
    <cellStyle name="Normal 330" xfId="818"/>
    <cellStyle name="Normal 331" xfId="819"/>
    <cellStyle name="Normal 332" xfId="820"/>
    <cellStyle name="Normal 333" xfId="821"/>
    <cellStyle name="Normal 334" xfId="822"/>
    <cellStyle name="Normal 335" xfId="823"/>
    <cellStyle name="Normal 336" xfId="824"/>
    <cellStyle name="Normal 337" xfId="825"/>
    <cellStyle name="Normal 338" xfId="826"/>
    <cellStyle name="Normal 339" xfId="827"/>
    <cellStyle name="Normal 34" xfId="828"/>
    <cellStyle name="Normal 340" xfId="829"/>
    <cellStyle name="Normal 341" xfId="830"/>
    <cellStyle name="Normal 342" xfId="831"/>
    <cellStyle name="Normal 343" xfId="832"/>
    <cellStyle name="Normal 344" xfId="833"/>
    <cellStyle name="Normal 345" xfId="834"/>
    <cellStyle name="Normal 346" xfId="835"/>
    <cellStyle name="Normal 347" xfId="836"/>
    <cellStyle name="Normal 348" xfId="837"/>
    <cellStyle name="Normal 349" xfId="838"/>
    <cellStyle name="Normal 35" xfId="839"/>
    <cellStyle name="Normal 350" xfId="840"/>
    <cellStyle name="Normal 351" xfId="841"/>
    <cellStyle name="Normal 352" xfId="842"/>
    <cellStyle name="Normal 353" xfId="843"/>
    <cellStyle name="Normal 354" xfId="844"/>
    <cellStyle name="Normal 355" xfId="845"/>
    <cellStyle name="Normal 356" xfId="846"/>
    <cellStyle name="Normal 357" xfId="847"/>
    <cellStyle name="Normal 358" xfId="848"/>
    <cellStyle name="Normal 359" xfId="849"/>
    <cellStyle name="Normal 36" xfId="850"/>
    <cellStyle name="Normal 360" xfId="851"/>
    <cellStyle name="Normal 361" xfId="852"/>
    <cellStyle name="Normal 362" xfId="853"/>
    <cellStyle name="Normal 363" xfId="854"/>
    <cellStyle name="Normal 364" xfId="855"/>
    <cellStyle name="Normal 365" xfId="856"/>
    <cellStyle name="Normal 366" xfId="857"/>
    <cellStyle name="Normal 367" xfId="858"/>
    <cellStyle name="Normal 368" xfId="859"/>
    <cellStyle name="Normal 369" xfId="860"/>
    <cellStyle name="Normal 37" xfId="861"/>
    <cellStyle name="Normal 370" xfId="862"/>
    <cellStyle name="Normal 371" xfId="863"/>
    <cellStyle name="Normal 372" xfId="864"/>
    <cellStyle name="Normal 373" xfId="865"/>
    <cellStyle name="Normal 374" xfId="866"/>
    <cellStyle name="Normal 375" xfId="867"/>
    <cellStyle name="Normal 376" xfId="868"/>
    <cellStyle name="Normal 377" xfId="869"/>
    <cellStyle name="Normal 378" xfId="870"/>
    <cellStyle name="Normal 379" xfId="871"/>
    <cellStyle name="Normal 38" xfId="872"/>
    <cellStyle name="Normal 380" xfId="873"/>
    <cellStyle name="Normal 381" xfId="874"/>
    <cellStyle name="Normal 382" xfId="875"/>
    <cellStyle name="Normal 383" xfId="876"/>
    <cellStyle name="Normal 384" xfId="877"/>
    <cellStyle name="Normal 385" xfId="878"/>
    <cellStyle name="Normal 386" xfId="879"/>
    <cellStyle name="Normal 387" xfId="880"/>
    <cellStyle name="Normal 388" xfId="881"/>
    <cellStyle name="Normal 389" xfId="882"/>
    <cellStyle name="Normal 39" xfId="883"/>
    <cellStyle name="Normal 390" xfId="884"/>
    <cellStyle name="Normal 391" xfId="885"/>
    <cellStyle name="Normal 392" xfId="886"/>
    <cellStyle name="Normal 393" xfId="887"/>
    <cellStyle name="Normal 394" xfId="888"/>
    <cellStyle name="Normal 395" xfId="889"/>
    <cellStyle name="Normal 396" xfId="890"/>
    <cellStyle name="Normal 397" xfId="891"/>
    <cellStyle name="Normal 398" xfId="892"/>
    <cellStyle name="Normal 399" xfId="893"/>
    <cellStyle name="Normal 4" xfId="894"/>
    <cellStyle name="Normal 40" xfId="895"/>
    <cellStyle name="Normal 400" xfId="896"/>
    <cellStyle name="Normal 401" xfId="897"/>
    <cellStyle name="Normal 402" xfId="898"/>
    <cellStyle name="Normal 403" xfId="899"/>
    <cellStyle name="Normal 404" xfId="900"/>
    <cellStyle name="Normal 405" xfId="901"/>
    <cellStyle name="Normal 406" xfId="902"/>
    <cellStyle name="Normal 407" xfId="903"/>
    <cellStyle name="Normal 408" xfId="904"/>
    <cellStyle name="Normal 409" xfId="905"/>
    <cellStyle name="Normal 41" xfId="906"/>
    <cellStyle name="Normal 410" xfId="907"/>
    <cellStyle name="Normal 411" xfId="908"/>
    <cellStyle name="Normal 412" xfId="909"/>
    <cellStyle name="Normal 413" xfId="910"/>
    <cellStyle name="Normal 414" xfId="911"/>
    <cellStyle name="Normal 415" xfId="912"/>
    <cellStyle name="Normal 416" xfId="913"/>
    <cellStyle name="Normal 417" xfId="914"/>
    <cellStyle name="Normal 418" xfId="915"/>
    <cellStyle name="Normal 419" xfId="916"/>
    <cellStyle name="Normal 42" xfId="917"/>
    <cellStyle name="Normal 420" xfId="918"/>
    <cellStyle name="Normal 421" xfId="919"/>
    <cellStyle name="Normal 422" xfId="920"/>
    <cellStyle name="Normal 423" xfId="921"/>
    <cellStyle name="Normal 424" xfId="922"/>
    <cellStyle name="Normal 425" xfId="923"/>
    <cellStyle name="Normal 426" xfId="924"/>
    <cellStyle name="Normal 427" xfId="925"/>
    <cellStyle name="Normal 428" xfId="926"/>
    <cellStyle name="Normal 429" xfId="927"/>
    <cellStyle name="Normal 43" xfId="928"/>
    <cellStyle name="Normal 430" xfId="929"/>
    <cellStyle name="Normal 431" xfId="930"/>
    <cellStyle name="Normal 432" xfId="931"/>
    <cellStyle name="Normal 433" xfId="932"/>
    <cellStyle name="Normal 434" xfId="933"/>
    <cellStyle name="Normal 435" xfId="934"/>
    <cellStyle name="Normal 436" xfId="935"/>
    <cellStyle name="Normal 437" xfId="936"/>
    <cellStyle name="Normal 438" xfId="937"/>
    <cellStyle name="Normal 439" xfId="938"/>
    <cellStyle name="Normal 44" xfId="939"/>
    <cellStyle name="Normal 440" xfId="940"/>
    <cellStyle name="Normal 441" xfId="941"/>
    <cellStyle name="Normal 442" xfId="942"/>
    <cellStyle name="Normal 443" xfId="943"/>
    <cellStyle name="Normal 444" xfId="944"/>
    <cellStyle name="Normal 445" xfId="945"/>
    <cellStyle name="Normal 446" xfId="946"/>
    <cellStyle name="Normal 447" xfId="947"/>
    <cellStyle name="Normal 448" xfId="948"/>
    <cellStyle name="Normal 449" xfId="949"/>
    <cellStyle name="Normal 45" xfId="950"/>
    <cellStyle name="Normal 450" xfId="951"/>
    <cellStyle name="Normal 451" xfId="952"/>
    <cellStyle name="Normal 452" xfId="953"/>
    <cellStyle name="Normal 453" xfId="954"/>
    <cellStyle name="Normal 454" xfId="955"/>
    <cellStyle name="Normal 455" xfId="956"/>
    <cellStyle name="Normal 456" xfId="957"/>
    <cellStyle name="Normal 457" xfId="958"/>
    <cellStyle name="Normal 458" xfId="959"/>
    <cellStyle name="Normal 459" xfId="960"/>
    <cellStyle name="Normal 46" xfId="961"/>
    <cellStyle name="Normal 460" xfId="962"/>
    <cellStyle name="Normal 461" xfId="963"/>
    <cellStyle name="Normal 462" xfId="964"/>
    <cellStyle name="Normal 463" xfId="965"/>
    <cellStyle name="Normal 464" xfId="966"/>
    <cellStyle name="Normal 465" xfId="967"/>
    <cellStyle name="Normal 466" xfId="968"/>
    <cellStyle name="Normal 467" xfId="969"/>
    <cellStyle name="Normal 468" xfId="970"/>
    <cellStyle name="Normal 469" xfId="971"/>
    <cellStyle name="Normal 47" xfId="972"/>
    <cellStyle name="Normal 47 2" xfId="973"/>
    <cellStyle name="Normal 470" xfId="974"/>
    <cellStyle name="Normal 471" xfId="975"/>
    <cellStyle name="Normal 472" xfId="976"/>
    <cellStyle name="Normal 473" xfId="977"/>
    <cellStyle name="Normal 474" xfId="978"/>
    <cellStyle name="Normal 475" xfId="979"/>
    <cellStyle name="Normal 476" xfId="980"/>
    <cellStyle name="Normal 477" xfId="981"/>
    <cellStyle name="Normal 478" xfId="982"/>
    <cellStyle name="Normal 479" xfId="983"/>
    <cellStyle name="Normal 48" xfId="984"/>
    <cellStyle name="Normal 480" xfId="985"/>
    <cellStyle name="Normal 481" xfId="986"/>
    <cellStyle name="Normal 482" xfId="987"/>
    <cellStyle name="Normal 483" xfId="988"/>
    <cellStyle name="Normal 484" xfId="989"/>
    <cellStyle name="Normal 485" xfId="990"/>
    <cellStyle name="Normal 486" xfId="991"/>
    <cellStyle name="Normal 487" xfId="992"/>
    <cellStyle name="Normal 488" xfId="993"/>
    <cellStyle name="Normal 489" xfId="994"/>
    <cellStyle name="Normal 49" xfId="995"/>
    <cellStyle name="Normal 490" xfId="996"/>
    <cellStyle name="Normal 491" xfId="997"/>
    <cellStyle name="Normal 492" xfId="998"/>
    <cellStyle name="Normal 493" xfId="999"/>
    <cellStyle name="Normal 494" xfId="1000"/>
    <cellStyle name="Normal 495" xfId="1001"/>
    <cellStyle name="Normal 496" xfId="1002"/>
    <cellStyle name="Normal 497" xfId="1003"/>
    <cellStyle name="Normal 498" xfId="1004"/>
    <cellStyle name="Normal 499" xfId="1005"/>
    <cellStyle name="Normal 5" xfId="1006"/>
    <cellStyle name="Normal 50" xfId="1007"/>
    <cellStyle name="Normal 500" xfId="1008"/>
    <cellStyle name="Normal 501" xfId="1009"/>
    <cellStyle name="Normal 502" xfId="1010"/>
    <cellStyle name="Normal 503" xfId="1011"/>
    <cellStyle name="Normal 504" xfId="1012"/>
    <cellStyle name="Normal 505" xfId="1013"/>
    <cellStyle name="Normal 506" xfId="1014"/>
    <cellStyle name="Normal 507" xfId="1015"/>
    <cellStyle name="Normal 508" xfId="1016"/>
    <cellStyle name="Normal 509" xfId="1017"/>
    <cellStyle name="Normal 51" xfId="1018"/>
    <cellStyle name="Normal 510" xfId="1019"/>
    <cellStyle name="Normal 511" xfId="1020"/>
    <cellStyle name="Normal 512" xfId="1021"/>
    <cellStyle name="Normal 513" xfId="1022"/>
    <cellStyle name="Normal 514" xfId="1023"/>
    <cellStyle name="Normal 515" xfId="1024"/>
    <cellStyle name="Normal 516" xfId="1025"/>
    <cellStyle name="Normal 517" xfId="1026"/>
    <cellStyle name="Normal 518" xfId="1027"/>
    <cellStyle name="Normal 519" xfId="1028"/>
    <cellStyle name="Normal 52" xfId="1029"/>
    <cellStyle name="Normal 520" xfId="1030"/>
    <cellStyle name="Normal 521" xfId="1031"/>
    <cellStyle name="Normal 522" xfId="1032"/>
    <cellStyle name="Normal 523" xfId="1033"/>
    <cellStyle name="Normal 524" xfId="1034"/>
    <cellStyle name="Normal 525" xfId="1035"/>
    <cellStyle name="Normal 526" xfId="1036"/>
    <cellStyle name="Normal 527" xfId="1037"/>
    <cellStyle name="Normal 528" xfId="1038"/>
    <cellStyle name="Normal 529" xfId="1039"/>
    <cellStyle name="Normal 53" xfId="1040"/>
    <cellStyle name="Normal 530" xfId="1041"/>
    <cellStyle name="Normal 531" xfId="1042"/>
    <cellStyle name="Normal 532" xfId="1043"/>
    <cellStyle name="Normal 533" xfId="1044"/>
    <cellStyle name="Normal 534" xfId="1045"/>
    <cellStyle name="Normal 535" xfId="1046"/>
    <cellStyle name="Normal 536" xfId="1047"/>
    <cellStyle name="Normal 537" xfId="1048"/>
    <cellStyle name="Normal 538" xfId="1049"/>
    <cellStyle name="Normal 539" xfId="1050"/>
    <cellStyle name="Normal 54" xfId="1051"/>
    <cellStyle name="Normal 540" xfId="1052"/>
    <cellStyle name="Normal 541" xfId="1053"/>
    <cellStyle name="Normal 542" xfId="1054"/>
    <cellStyle name="Normal 543" xfId="1055"/>
    <cellStyle name="Normal 544" xfId="1056"/>
    <cellStyle name="Normal 545" xfId="1057"/>
    <cellStyle name="Normal 546" xfId="1058"/>
    <cellStyle name="Normal 547" xfId="1059"/>
    <cellStyle name="Normal 548" xfId="1060"/>
    <cellStyle name="Normal 549" xfId="1061"/>
    <cellStyle name="Normal 55" xfId="1062"/>
    <cellStyle name="Normal 550" xfId="1063"/>
    <cellStyle name="Normal 551" xfId="1064"/>
    <cellStyle name="Normal 552" xfId="1065"/>
    <cellStyle name="Normal 553" xfId="1066"/>
    <cellStyle name="Normal 554" xfId="1067"/>
    <cellStyle name="Normal 555" xfId="1068"/>
    <cellStyle name="Normal 556" xfId="1069"/>
    <cellStyle name="Normal 557" xfId="1070"/>
    <cellStyle name="Normal 558" xfId="1071"/>
    <cellStyle name="Normal 559" xfId="1072"/>
    <cellStyle name="Normal 56" xfId="1073"/>
    <cellStyle name="Normal 560" xfId="1074"/>
    <cellStyle name="Normal 561" xfId="1075"/>
    <cellStyle name="Normal 562" xfId="1076"/>
    <cellStyle name="Normal 563" xfId="1077"/>
    <cellStyle name="Normal 564" xfId="1078"/>
    <cellStyle name="Normal 565" xfId="1079"/>
    <cellStyle name="Normal 566" xfId="1080"/>
    <cellStyle name="Normal 567" xfId="1081"/>
    <cellStyle name="Normal 568" xfId="1082"/>
    <cellStyle name="Normal 569" xfId="1083"/>
    <cellStyle name="Normal 57" xfId="1084"/>
    <cellStyle name="Normal 570" xfId="1085"/>
    <cellStyle name="Normal 571" xfId="1086"/>
    <cellStyle name="Normal 572" xfId="1087"/>
    <cellStyle name="Normal 573" xfId="1088"/>
    <cellStyle name="Normal 574" xfId="1089"/>
    <cellStyle name="Normal 575" xfId="1090"/>
    <cellStyle name="Normal 576" xfId="1091"/>
    <cellStyle name="Normal 577" xfId="1092"/>
    <cellStyle name="Normal 578" xfId="1093"/>
    <cellStyle name="Normal 579" xfId="1094"/>
    <cellStyle name="Normal 58" xfId="1095"/>
    <cellStyle name="Normal 580" xfId="1096"/>
    <cellStyle name="Normal 581" xfId="1097"/>
    <cellStyle name="Normal 582" xfId="1098"/>
    <cellStyle name="Normal 583" xfId="1099"/>
    <cellStyle name="Normal 584" xfId="1100"/>
    <cellStyle name="Normal 585" xfId="1101"/>
    <cellStyle name="Normal 586" xfId="1102"/>
    <cellStyle name="Normal 587" xfId="1103"/>
    <cellStyle name="Normal 588" xfId="1104"/>
    <cellStyle name="Normal 589" xfId="1105"/>
    <cellStyle name="Normal 59" xfId="1106"/>
    <cellStyle name="Normal 590" xfId="1107"/>
    <cellStyle name="Normal 591" xfId="1108"/>
    <cellStyle name="Normal 592" xfId="1109"/>
    <cellStyle name="Normal 593" xfId="1110"/>
    <cellStyle name="Normal 594" xfId="1111"/>
    <cellStyle name="Normal 595" xfId="1112"/>
    <cellStyle name="Normal 596" xfId="1113"/>
    <cellStyle name="Normal 597" xfId="1114"/>
    <cellStyle name="Normal 598" xfId="1115"/>
    <cellStyle name="Normal 599" xfId="1116"/>
    <cellStyle name="Normal 6" xfId="1117"/>
    <cellStyle name="Normal 60" xfId="1118"/>
    <cellStyle name="Normal 600" xfId="1119"/>
    <cellStyle name="Normal 601" xfId="1120"/>
    <cellStyle name="Normal 602" xfId="1121"/>
    <cellStyle name="Normal 603" xfId="1122"/>
    <cellStyle name="Normal 604" xfId="1123"/>
    <cellStyle name="Normal 605" xfId="1124"/>
    <cellStyle name="Normal 606" xfId="1125"/>
    <cellStyle name="Normal 607" xfId="1126"/>
    <cellStyle name="Normal 608" xfId="1127"/>
    <cellStyle name="Normal 609" xfId="1128"/>
    <cellStyle name="Normal 61" xfId="1129"/>
    <cellStyle name="Normal 610" xfId="1130"/>
    <cellStyle name="Normal 611" xfId="1131"/>
    <cellStyle name="Normal 612" xfId="1132"/>
    <cellStyle name="Normal 613" xfId="1133"/>
    <cellStyle name="Normal 614" xfId="1134"/>
    <cellStyle name="Normal 615" xfId="1135"/>
    <cellStyle name="Normal 616" xfId="1136"/>
    <cellStyle name="Normal 617" xfId="1137"/>
    <cellStyle name="Normal 618" xfId="1138"/>
    <cellStyle name="Normal 619" xfId="1139"/>
    <cellStyle name="Normal 62" xfId="1140"/>
    <cellStyle name="Normal 620" xfId="1141"/>
    <cellStyle name="Normal 621" xfId="1142"/>
    <cellStyle name="Normal 622" xfId="1143"/>
    <cellStyle name="Normal 623" xfId="1144"/>
    <cellStyle name="Normal 624" xfId="1145"/>
    <cellStyle name="Normal 625" xfId="1146"/>
    <cellStyle name="Normal 626" xfId="1147"/>
    <cellStyle name="Normal 627" xfId="1148"/>
    <cellStyle name="Normal 628" xfId="1149"/>
    <cellStyle name="Normal 629" xfId="1150"/>
    <cellStyle name="Normal 63" xfId="1151"/>
    <cellStyle name="Normal 630" xfId="1152"/>
    <cellStyle name="Normal 631" xfId="1153"/>
    <cellStyle name="Normal 632" xfId="1154"/>
    <cellStyle name="Normal 633" xfId="1155"/>
    <cellStyle name="Normal 634" xfId="1156"/>
    <cellStyle name="Normal 635" xfId="1157"/>
    <cellStyle name="Normal 636" xfId="1158"/>
    <cellStyle name="Normal 637" xfId="1159"/>
    <cellStyle name="Normal 638" xfId="1160"/>
    <cellStyle name="Normal 639" xfId="1161"/>
    <cellStyle name="Normal 64" xfId="1162"/>
    <cellStyle name="Normal 640" xfId="1163"/>
    <cellStyle name="Normal 641" xfId="1164"/>
    <cellStyle name="Normal 642" xfId="1165"/>
    <cellStyle name="Normal 643" xfId="1166"/>
    <cellStyle name="Normal 644" xfId="1167"/>
    <cellStyle name="Normal 645" xfId="1168"/>
    <cellStyle name="Normal 646" xfId="1169"/>
    <cellStyle name="Normal 647" xfId="1170"/>
    <cellStyle name="Normal 648" xfId="1171"/>
    <cellStyle name="Normal 649" xfId="1172"/>
    <cellStyle name="Normal 65" xfId="1173"/>
    <cellStyle name="Normal 650" xfId="1174"/>
    <cellStyle name="Normal 651" xfId="1175"/>
    <cellStyle name="Normal 652" xfId="1176"/>
    <cellStyle name="Normal 653" xfId="1177"/>
    <cellStyle name="Normal 654" xfId="1178"/>
    <cellStyle name="Normal 655" xfId="1179"/>
    <cellStyle name="Normal 656" xfId="1180"/>
    <cellStyle name="Normal 657" xfId="1181"/>
    <cellStyle name="Normal 658" xfId="1182"/>
    <cellStyle name="Normal 659" xfId="1183"/>
    <cellStyle name="Normal 66" xfId="1184"/>
    <cellStyle name="Normal 660" xfId="1185"/>
    <cellStyle name="Normal 661" xfId="1186"/>
    <cellStyle name="Normal 662" xfId="1187"/>
    <cellStyle name="Normal 663" xfId="1188"/>
    <cellStyle name="Normal 664" xfId="1189"/>
    <cellStyle name="Normal 665" xfId="1190"/>
    <cellStyle name="Normal 666" xfId="1191"/>
    <cellStyle name="Normal 667" xfId="1192"/>
    <cellStyle name="Normal 668" xfId="1193"/>
    <cellStyle name="Normal 669" xfId="1194"/>
    <cellStyle name="Normal 67" xfId="1195"/>
    <cellStyle name="Normal 670" xfId="1196"/>
    <cellStyle name="Normal 671" xfId="1197"/>
    <cellStyle name="Normal 672" xfId="1198"/>
    <cellStyle name="Normal 673" xfId="1199"/>
    <cellStyle name="Normal 674" xfId="1200"/>
    <cellStyle name="Normal 675" xfId="1201"/>
    <cellStyle name="Normal 676" xfId="1202"/>
    <cellStyle name="Normal 677" xfId="1203"/>
    <cellStyle name="Normal 678" xfId="1204"/>
    <cellStyle name="Normal 679" xfId="1205"/>
    <cellStyle name="Normal 68" xfId="1206"/>
    <cellStyle name="Normal 680" xfId="1207"/>
    <cellStyle name="Normal 681" xfId="1208"/>
    <cellStyle name="Normal 682" xfId="1209"/>
    <cellStyle name="Normal 683" xfId="1210"/>
    <cellStyle name="Normal 684" xfId="1211"/>
    <cellStyle name="Normal 685" xfId="1212"/>
    <cellStyle name="Normal 686" xfId="1213"/>
    <cellStyle name="Normal 687" xfId="1214"/>
    <cellStyle name="Normal 688" xfId="1215"/>
    <cellStyle name="Normal 689" xfId="1216"/>
    <cellStyle name="Normal 69" xfId="1217"/>
    <cellStyle name="Normal 690" xfId="1218"/>
    <cellStyle name="Normal 691" xfId="1219"/>
    <cellStyle name="Normal 692" xfId="1220"/>
    <cellStyle name="Normal 693" xfId="1221"/>
    <cellStyle name="Normal 694" xfId="1222"/>
    <cellStyle name="Normal 695" xfId="1223"/>
    <cellStyle name="Normal 696" xfId="1224"/>
    <cellStyle name="Normal 697" xfId="1225"/>
    <cellStyle name="Normal 698" xfId="1226"/>
    <cellStyle name="Normal 699" xfId="1227"/>
    <cellStyle name="Normal 7" xfId="1228"/>
    <cellStyle name="Normal 70" xfId="1229"/>
    <cellStyle name="Normal 700" xfId="1230"/>
    <cellStyle name="Normal 701" xfId="1231"/>
    <cellStyle name="Normal 702" xfId="1232"/>
    <cellStyle name="Normal 703" xfId="1233"/>
    <cellStyle name="Normal 704" xfId="1234"/>
    <cellStyle name="Normal 705" xfId="1235"/>
    <cellStyle name="Normal 706" xfId="1236"/>
    <cellStyle name="Normal 707" xfId="1237"/>
    <cellStyle name="Normal 708" xfId="1238"/>
    <cellStyle name="Normal 709" xfId="1239"/>
    <cellStyle name="Normal 71" xfId="1240"/>
    <cellStyle name="Normal 710" xfId="1241"/>
    <cellStyle name="Normal 711" xfId="1242"/>
    <cellStyle name="Normal 712" xfId="1243"/>
    <cellStyle name="Normal 713" xfId="1244"/>
    <cellStyle name="Normal 714" xfId="1245"/>
    <cellStyle name="Normal 715" xfId="1246"/>
    <cellStyle name="Normal 716" xfId="1247"/>
    <cellStyle name="Normal 717" xfId="1248"/>
    <cellStyle name="Normal 718" xfId="1249"/>
    <cellStyle name="Normal 719" xfId="1250"/>
    <cellStyle name="Normal 72" xfId="1251"/>
    <cellStyle name="Normal 720" xfId="1252"/>
    <cellStyle name="Normal 721" xfId="1253"/>
    <cellStyle name="Normal 722" xfId="1254"/>
    <cellStyle name="Normal 723" xfId="1255"/>
    <cellStyle name="Normal 724" xfId="1256"/>
    <cellStyle name="Normal 725" xfId="1257"/>
    <cellStyle name="Normal 726" xfId="1258"/>
    <cellStyle name="Normal 727" xfId="1259"/>
    <cellStyle name="Normal 728" xfId="1260"/>
    <cellStyle name="Normal 729" xfId="1261"/>
    <cellStyle name="Normal 73" xfId="1262"/>
    <cellStyle name="Normal 730" xfId="1263"/>
    <cellStyle name="Normal 731" xfId="1264"/>
    <cellStyle name="Normal 732" xfId="1265"/>
    <cellStyle name="Normal 733" xfId="1266"/>
    <cellStyle name="Normal 734" xfId="1267"/>
    <cellStyle name="Normal 735" xfId="1268"/>
    <cellStyle name="Normal 736" xfId="1269"/>
    <cellStyle name="Normal 737" xfId="1270"/>
    <cellStyle name="Normal 738" xfId="1271"/>
    <cellStyle name="Normal 739" xfId="1272"/>
    <cellStyle name="Normal 74" xfId="1273"/>
    <cellStyle name="Normal 740" xfId="1274"/>
    <cellStyle name="Normal 741" xfId="1275"/>
    <cellStyle name="Normal 742" xfId="1276"/>
    <cellStyle name="Normal 743" xfId="1277"/>
    <cellStyle name="Normal 744" xfId="1278"/>
    <cellStyle name="Normal 745" xfId="1279"/>
    <cellStyle name="Normal 746" xfId="1280"/>
    <cellStyle name="Normal 747" xfId="1281"/>
    <cellStyle name="Normal 748" xfId="1282"/>
    <cellStyle name="Normal 749" xfId="1283"/>
    <cellStyle name="Normal 75" xfId="1284"/>
    <cellStyle name="Normal 750" xfId="1285"/>
    <cellStyle name="Normal 751" xfId="1286"/>
    <cellStyle name="Normal 752" xfId="1287"/>
    <cellStyle name="Normal 753" xfId="1288"/>
    <cellStyle name="Normal 754" xfId="1289"/>
    <cellStyle name="Normal 755" xfId="1290"/>
    <cellStyle name="Normal 756" xfId="1291"/>
    <cellStyle name="Normal 757" xfId="1292"/>
    <cellStyle name="Normal 758" xfId="1293"/>
    <cellStyle name="Normal 759" xfId="1294"/>
    <cellStyle name="Normal 76" xfId="1295"/>
    <cellStyle name="Normal 760" xfId="1296"/>
    <cellStyle name="Normal 761" xfId="1297"/>
    <cellStyle name="Normal 762" xfId="1298"/>
    <cellStyle name="Normal 763" xfId="1299"/>
    <cellStyle name="Normal 764" xfId="1300"/>
    <cellStyle name="Normal 765" xfId="1301"/>
    <cellStyle name="Normal 766" xfId="1302"/>
    <cellStyle name="Normal 767" xfId="1303"/>
    <cellStyle name="Normal 768" xfId="1304"/>
    <cellStyle name="Normal 769" xfId="1305"/>
    <cellStyle name="Normal 77" xfId="1306"/>
    <cellStyle name="Normal 770" xfId="1307"/>
    <cellStyle name="Normal 771" xfId="1308"/>
    <cellStyle name="Normal 772" xfId="1309"/>
    <cellStyle name="Normal 773" xfId="1310"/>
    <cellStyle name="Normal 774" xfId="1311"/>
    <cellStyle name="Normal 775" xfId="1312"/>
    <cellStyle name="Normal 776" xfId="1313"/>
    <cellStyle name="Normal 777" xfId="1314"/>
    <cellStyle name="Normal 778" xfId="1315"/>
    <cellStyle name="Normal 779" xfId="1316"/>
    <cellStyle name="Normal 78" xfId="1317"/>
    <cellStyle name="Normal 780" xfId="1318"/>
    <cellStyle name="Normal 781" xfId="1319"/>
    <cellStyle name="Normal 782" xfId="1320"/>
    <cellStyle name="Normal 783" xfId="1321"/>
    <cellStyle name="Normal 784" xfId="1322"/>
    <cellStyle name="Normal 785" xfId="1323"/>
    <cellStyle name="Normal 786" xfId="1324"/>
    <cellStyle name="Normal 787" xfId="1325"/>
    <cellStyle name="Normal 788" xfId="1326"/>
    <cellStyle name="Normal 789" xfId="1327"/>
    <cellStyle name="Normal 79" xfId="1328"/>
    <cellStyle name="Normal 790" xfId="1329"/>
    <cellStyle name="Normal 791" xfId="1330"/>
    <cellStyle name="Normal 792" xfId="1331"/>
    <cellStyle name="Normal 793" xfId="1332"/>
    <cellStyle name="Normal 794" xfId="1333"/>
    <cellStyle name="Normal 795" xfId="1334"/>
    <cellStyle name="Normal 796" xfId="1335"/>
    <cellStyle name="Normal 797" xfId="1336"/>
    <cellStyle name="Normal 798" xfId="1337"/>
    <cellStyle name="Normal 799" xfId="1338"/>
    <cellStyle name="Normal 8" xfId="1339"/>
    <cellStyle name="Normal 80" xfId="1340"/>
    <cellStyle name="Normal 800" xfId="1341"/>
    <cellStyle name="Normal 801" xfId="1342"/>
    <cellStyle name="Normal 802" xfId="1343"/>
    <cellStyle name="Normal 803" xfId="1344"/>
    <cellStyle name="Normal 804" xfId="1345"/>
    <cellStyle name="Normal 805" xfId="1346"/>
    <cellStyle name="Normal 806" xfId="1347"/>
    <cellStyle name="Normal 807" xfId="1348"/>
    <cellStyle name="Normal 808" xfId="1349"/>
    <cellStyle name="Normal 809" xfId="1350"/>
    <cellStyle name="Normal 81" xfId="1351"/>
    <cellStyle name="Normal 810" xfId="1352"/>
    <cellStyle name="Normal 811" xfId="1353"/>
    <cellStyle name="Normal 812" xfId="1354"/>
    <cellStyle name="Normal 813" xfId="1355"/>
    <cellStyle name="Normal 814" xfId="1356"/>
    <cellStyle name="Normal 815" xfId="1357"/>
    <cellStyle name="Normal 816" xfId="1358"/>
    <cellStyle name="Normal 817" xfId="1359"/>
    <cellStyle name="Normal 818" xfId="1360"/>
    <cellStyle name="Normal 819" xfId="1361"/>
    <cellStyle name="Normal 82" xfId="1362"/>
    <cellStyle name="Normal 820" xfId="1363"/>
    <cellStyle name="Normal 821" xfId="1364"/>
    <cellStyle name="Normal 822" xfId="1365"/>
    <cellStyle name="Normal 823" xfId="1366"/>
    <cellStyle name="Normal 824" xfId="1367"/>
    <cellStyle name="Normal 825" xfId="1368"/>
    <cellStyle name="Normal 826" xfId="1369"/>
    <cellStyle name="Normal 827" xfId="1370"/>
    <cellStyle name="Normal 828" xfId="1371"/>
    <cellStyle name="Normal 829" xfId="1372"/>
    <cellStyle name="Normal 83" xfId="1373"/>
    <cellStyle name="Normal 830" xfId="1374"/>
    <cellStyle name="Normal 831" xfId="1375"/>
    <cellStyle name="Normal 832" xfId="1376"/>
    <cellStyle name="Normal 833" xfId="1377"/>
    <cellStyle name="Normal 834" xfId="1378"/>
    <cellStyle name="Normal 835" xfId="1379"/>
    <cellStyle name="Normal 836" xfId="1380"/>
    <cellStyle name="Normal 837" xfId="1381"/>
    <cellStyle name="Normal 838" xfId="1382"/>
    <cellStyle name="Normal 839" xfId="1383"/>
    <cellStyle name="Normal 84" xfId="1384"/>
    <cellStyle name="Normal 840" xfId="1385"/>
    <cellStyle name="Normal 841" xfId="1386"/>
    <cellStyle name="Normal 842" xfId="1387"/>
    <cellStyle name="Normal 843" xfId="1388"/>
    <cellStyle name="Normal 844" xfId="1389"/>
    <cellStyle name="Normal 845" xfId="1390"/>
    <cellStyle name="Normal 846" xfId="1391"/>
    <cellStyle name="Normal 847" xfId="1392"/>
    <cellStyle name="Normal 848" xfId="1393"/>
    <cellStyle name="Normal 849" xfId="1394"/>
    <cellStyle name="Normal 85" xfId="1395"/>
    <cellStyle name="Normal 850" xfId="1396"/>
    <cellStyle name="Normal 851" xfId="1397"/>
    <cellStyle name="Normal 852" xfId="1398"/>
    <cellStyle name="Normal 853" xfId="1399"/>
    <cellStyle name="Normal 854" xfId="1400"/>
    <cellStyle name="Normal 855" xfId="1401"/>
    <cellStyle name="Normal 856" xfId="1402"/>
    <cellStyle name="Normal 857" xfId="1403"/>
    <cellStyle name="Normal 858" xfId="1404"/>
    <cellStyle name="Normal 859" xfId="1405"/>
    <cellStyle name="Normal 86" xfId="1406"/>
    <cellStyle name="Normal 860" xfId="1407"/>
    <cellStyle name="Normal 861" xfId="1408"/>
    <cellStyle name="Normal 862" xfId="1409"/>
    <cellStyle name="Normal 863" xfId="1410"/>
    <cellStyle name="Normal 864" xfId="1411"/>
    <cellStyle name="Normal 865" xfId="1412"/>
    <cellStyle name="Normal 866" xfId="1413"/>
    <cellStyle name="Normal 867" xfId="1414"/>
    <cellStyle name="Normal 868" xfId="1415"/>
    <cellStyle name="Normal 869" xfId="1416"/>
    <cellStyle name="Normal 87" xfId="1417"/>
    <cellStyle name="Normal 870" xfId="1418"/>
    <cellStyle name="Normal 871" xfId="1419"/>
    <cellStyle name="Normal 872" xfId="1420"/>
    <cellStyle name="Normal 873" xfId="1421"/>
    <cellStyle name="Normal 874" xfId="1422"/>
    <cellStyle name="Normal 875" xfId="1423"/>
    <cellStyle name="Normal 876" xfId="1424"/>
    <cellStyle name="Normal 877" xfId="1425"/>
    <cellStyle name="Normal 878" xfId="1426"/>
    <cellStyle name="Normal 879" xfId="1427"/>
    <cellStyle name="Normal 88" xfId="1428"/>
    <cellStyle name="Normal 880" xfId="1429"/>
    <cellStyle name="Normal 881" xfId="1430"/>
    <cellStyle name="Normal 882" xfId="1431"/>
    <cellStyle name="Normal 883" xfId="1432"/>
    <cellStyle name="Normal 884" xfId="1433"/>
    <cellStyle name="Normal 885" xfId="1434"/>
    <cellStyle name="Normal 886" xfId="1435"/>
    <cellStyle name="Normal 887" xfId="1436"/>
    <cellStyle name="Normal 888" xfId="1437"/>
    <cellStyle name="Normal 889" xfId="1438"/>
    <cellStyle name="Normal 89" xfId="1439"/>
    <cellStyle name="Normal 890" xfId="1440"/>
    <cellStyle name="Normal 891" xfId="1441"/>
    <cellStyle name="Normal 892" xfId="1442"/>
    <cellStyle name="Normal 893" xfId="1443"/>
    <cellStyle name="Normal 894" xfId="1444"/>
    <cellStyle name="Normal 895" xfId="1445"/>
    <cellStyle name="Normal 896" xfId="1446"/>
    <cellStyle name="Normal 897" xfId="1447"/>
    <cellStyle name="Normal 898" xfId="1448"/>
    <cellStyle name="Normal 899" xfId="1449"/>
    <cellStyle name="Normal 9" xfId="1450"/>
    <cellStyle name="Normal 90" xfId="1451"/>
    <cellStyle name="Normal 900" xfId="1452"/>
    <cellStyle name="Normal 901" xfId="1453"/>
    <cellStyle name="Normal 902" xfId="1454"/>
    <cellStyle name="Normal 903" xfId="1455"/>
    <cellStyle name="Normal 904" xfId="1456"/>
    <cellStyle name="Normal 905" xfId="1457"/>
    <cellStyle name="Normal 906" xfId="1458"/>
    <cellStyle name="Normal 907" xfId="1459"/>
    <cellStyle name="Normal 908" xfId="1460"/>
    <cellStyle name="Normal 909" xfId="1461"/>
    <cellStyle name="Normal 91" xfId="1462"/>
    <cellStyle name="Normal 910" xfId="1463"/>
    <cellStyle name="Normal 911" xfId="1464"/>
    <cellStyle name="Normal 912" xfId="1465"/>
    <cellStyle name="Normal 913" xfId="1466"/>
    <cellStyle name="Normal 914" xfId="1467"/>
    <cellStyle name="Normal 915" xfId="1468"/>
    <cellStyle name="Normal 916" xfId="1469"/>
    <cellStyle name="Normal 917" xfId="1470"/>
    <cellStyle name="Normal 918" xfId="1471"/>
    <cellStyle name="Normal 919" xfId="1472"/>
    <cellStyle name="Normal 92" xfId="1473"/>
    <cellStyle name="Normal 920" xfId="1474"/>
    <cellStyle name="Normal 921" xfId="1475"/>
    <cellStyle name="Normal 922" xfId="1476"/>
    <cellStyle name="Normal 923" xfId="1477"/>
    <cellStyle name="Normal 924" xfId="1478"/>
    <cellStyle name="Normal 925" xfId="1479"/>
    <cellStyle name="Normal 926" xfId="1480"/>
    <cellStyle name="Normal 927" xfId="1481"/>
    <cellStyle name="Normal 928" xfId="1482"/>
    <cellStyle name="Normal 929" xfId="1483"/>
    <cellStyle name="Normal 93" xfId="1484"/>
    <cellStyle name="Normal 930" xfId="1485"/>
    <cellStyle name="Normal 931" xfId="1486"/>
    <cellStyle name="Normal 932" xfId="1487"/>
    <cellStyle name="Normal 933" xfId="1488"/>
    <cellStyle name="Normal 934" xfId="1489"/>
    <cellStyle name="Normal 935" xfId="1490"/>
    <cellStyle name="Normal 936" xfId="1491"/>
    <cellStyle name="Normal 937" xfId="1492"/>
    <cellStyle name="Normal 938" xfId="1493"/>
    <cellStyle name="Normal 939" xfId="1494"/>
    <cellStyle name="Normal 94" xfId="1495"/>
    <cellStyle name="Normal 940" xfId="1496"/>
    <cellStyle name="Normal 941" xfId="1497"/>
    <cellStyle name="Normal 942" xfId="1498"/>
    <cellStyle name="Normal 943" xfId="1499"/>
    <cellStyle name="Normal 944" xfId="1500"/>
    <cellStyle name="Normal 945" xfId="1501"/>
    <cellStyle name="Normal 946" xfId="1502"/>
    <cellStyle name="Normal 947" xfId="1503"/>
    <cellStyle name="Normal 948" xfId="1504"/>
    <cellStyle name="Normal 949" xfId="1505"/>
    <cellStyle name="Normal 95" xfId="1506"/>
    <cellStyle name="Normal 950" xfId="1507"/>
    <cellStyle name="Normal 951" xfId="1508"/>
    <cellStyle name="Normal 952" xfId="1509"/>
    <cellStyle name="Normal 953" xfId="1510"/>
    <cellStyle name="Normal 954" xfId="1511"/>
    <cellStyle name="Normal 955" xfId="1512"/>
    <cellStyle name="Normal 956" xfId="1513"/>
    <cellStyle name="Normal 957" xfId="1514"/>
    <cellStyle name="Normal 958" xfId="1515"/>
    <cellStyle name="Normal 959" xfId="1516"/>
    <cellStyle name="Normal 96" xfId="1517"/>
    <cellStyle name="Normal 960" xfId="1518"/>
    <cellStyle name="Normal 961" xfId="1519"/>
    <cellStyle name="Normal 962" xfId="1520"/>
    <cellStyle name="Normal 963" xfId="1521"/>
    <cellStyle name="Normal 964" xfId="1522"/>
    <cellStyle name="Normal 965" xfId="1523"/>
    <cellStyle name="Normal 966" xfId="1524"/>
    <cellStyle name="Normal 967" xfId="1525"/>
    <cellStyle name="Normal 968" xfId="1526"/>
    <cellStyle name="Normal 969" xfId="1527"/>
    <cellStyle name="Normal 97" xfId="1528"/>
    <cellStyle name="Normal 970" xfId="1529"/>
    <cellStyle name="Normal 971" xfId="1530"/>
    <cellStyle name="Normal 972" xfId="1531"/>
    <cellStyle name="Normal 973" xfId="1532"/>
    <cellStyle name="Normal 974" xfId="1533"/>
    <cellStyle name="Normal 975" xfId="1534"/>
    <cellStyle name="Normal 976" xfId="1535"/>
    <cellStyle name="Normal 977" xfId="1536"/>
    <cellStyle name="Normal 978" xfId="1537"/>
    <cellStyle name="Normal 979" xfId="1538"/>
    <cellStyle name="Normal 98" xfId="1539"/>
    <cellStyle name="Normal 980" xfId="1540"/>
    <cellStyle name="Normal 981" xfId="1541"/>
    <cellStyle name="Normal 982" xfId="1542"/>
    <cellStyle name="Normal 983" xfId="1543"/>
    <cellStyle name="Normal 984" xfId="1544"/>
    <cellStyle name="Normal 985" xfId="1545"/>
    <cellStyle name="Normal 986" xfId="1546"/>
    <cellStyle name="Normal 987" xfId="1547"/>
    <cellStyle name="Normal 988" xfId="1548"/>
    <cellStyle name="Normal 989" xfId="1549"/>
    <cellStyle name="Normal 99" xfId="1550"/>
    <cellStyle name="Normal 990" xfId="1551"/>
    <cellStyle name="Normal 991" xfId="1552"/>
    <cellStyle name="Normal 992" xfId="1553"/>
    <cellStyle name="Normal 993" xfId="1554"/>
    <cellStyle name="Normal 994" xfId="1555"/>
    <cellStyle name="Normal 995" xfId="1556"/>
    <cellStyle name="Normal 996" xfId="1557"/>
    <cellStyle name="Normal 997" xfId="1558"/>
    <cellStyle name="Normal 998" xfId="1559"/>
    <cellStyle name="Normal 999" xfId="1560"/>
    <cellStyle name="Percent" xfId="1728" builtinId="5"/>
    <cellStyle name="Percent [2]" xfId="1561"/>
    <cellStyle name="Percent [2] 2" xfId="1562"/>
    <cellStyle name="Percent [2] 2 2" xfId="1563"/>
    <cellStyle name="Percent 10" xfId="1708"/>
    <cellStyle name="Percent 11" xfId="1705"/>
    <cellStyle name="Percent 12" xfId="1702"/>
    <cellStyle name="Percent 13" xfId="1699"/>
    <cellStyle name="Percent 14" xfId="1696"/>
    <cellStyle name="Percent 2" xfId="1685"/>
    <cellStyle name="Percent 3" xfId="1688"/>
    <cellStyle name="Percent 4" xfId="1691"/>
    <cellStyle name="Percent 5" xfId="1723"/>
    <cellStyle name="Percent 6" xfId="1720"/>
    <cellStyle name="Percent 7" xfId="1717"/>
    <cellStyle name="Percent 8" xfId="1714"/>
    <cellStyle name="Percent 9" xfId="1711"/>
    <cellStyle name="SAPBEXaggData" xfId="1564"/>
    <cellStyle name="SAPBEXaggData 2" xfId="1565"/>
    <cellStyle name="SAPBEXaggData 2 2" xfId="1566"/>
    <cellStyle name="SAPBEXaggDataEmph" xfId="1567"/>
    <cellStyle name="SAPBEXaggDataEmph 2" xfId="1568"/>
    <cellStyle name="SAPBEXaggDataEmph 2 2" xfId="1569"/>
    <cellStyle name="SAPBEXaggItem" xfId="1570"/>
    <cellStyle name="SAPBEXaggItem 2" xfId="1571"/>
    <cellStyle name="SAPBEXaggItem 2 2" xfId="1572"/>
    <cellStyle name="SAPBEXaggItemX" xfId="1573"/>
    <cellStyle name="SAPBEXaggItemX 2" xfId="1574"/>
    <cellStyle name="SAPBEXaggItemX 2 2" xfId="1575"/>
    <cellStyle name="SAPBEXchaText" xfId="1576"/>
    <cellStyle name="SAPBEXchaText 2" xfId="1577"/>
    <cellStyle name="SAPBEXchaText 2 2" xfId="1578"/>
    <cellStyle name="SAPBEXexcBad7" xfId="1579"/>
    <cellStyle name="SAPBEXexcBad7 2" xfId="1580"/>
    <cellStyle name="SAPBEXexcBad7 2 2" xfId="1581"/>
    <cellStyle name="SAPBEXexcBad8" xfId="1582"/>
    <cellStyle name="SAPBEXexcBad8 2" xfId="1583"/>
    <cellStyle name="SAPBEXexcBad8 2 2" xfId="1584"/>
    <cellStyle name="SAPBEXexcBad9" xfId="1585"/>
    <cellStyle name="SAPBEXexcBad9 2" xfId="1586"/>
    <cellStyle name="SAPBEXexcBad9 2 2" xfId="1587"/>
    <cellStyle name="SAPBEXexcCritical4" xfId="1588"/>
    <cellStyle name="SAPBEXexcCritical4 2" xfId="1589"/>
    <cellStyle name="SAPBEXexcCritical4 2 2" xfId="1590"/>
    <cellStyle name="SAPBEXexcCritical5" xfId="1591"/>
    <cellStyle name="SAPBEXexcCritical5 2" xfId="1592"/>
    <cellStyle name="SAPBEXexcCritical5 2 2" xfId="1593"/>
    <cellStyle name="SAPBEXexcCritical6" xfId="1594"/>
    <cellStyle name="SAPBEXexcCritical6 2" xfId="1595"/>
    <cellStyle name="SAPBEXexcCritical6 2 2" xfId="1596"/>
    <cellStyle name="SAPBEXexcGood1" xfId="1597"/>
    <cellStyle name="SAPBEXexcGood1 2" xfId="1598"/>
    <cellStyle name="SAPBEXexcGood1 2 2" xfId="1599"/>
    <cellStyle name="SAPBEXexcGood2" xfId="1600"/>
    <cellStyle name="SAPBEXexcGood2 2" xfId="1601"/>
    <cellStyle name="SAPBEXexcGood2 2 2" xfId="1602"/>
    <cellStyle name="SAPBEXexcGood3" xfId="1603"/>
    <cellStyle name="SAPBEXexcGood3 2" xfId="1604"/>
    <cellStyle name="SAPBEXexcGood3 2 2" xfId="1605"/>
    <cellStyle name="SAPBEXfilterDrill" xfId="1606"/>
    <cellStyle name="SAPBEXfilterDrill 2" xfId="1607"/>
    <cellStyle name="SAPBEXfilterDrill 2 2" xfId="1608"/>
    <cellStyle name="SAPBEXfilterItem" xfId="1609"/>
    <cellStyle name="SAPBEXfilterItem 2" xfId="1610"/>
    <cellStyle name="SAPBEXfilterItem 2 2" xfId="1611"/>
    <cellStyle name="SAPBEXfilterText" xfId="1612"/>
    <cellStyle name="SAPBEXfilterText 2" xfId="1613"/>
    <cellStyle name="SAPBEXfilterText 2 2" xfId="1614"/>
    <cellStyle name="SAPBEXformats" xfId="1615"/>
    <cellStyle name="SAPBEXformats 2" xfId="1616"/>
    <cellStyle name="SAPBEXformats 2 2" xfId="1617"/>
    <cellStyle name="SAPBEXheaderItem" xfId="1618"/>
    <cellStyle name="SAPBEXheaderItem 2" xfId="1619"/>
    <cellStyle name="SAPBEXheaderItem 2 2" xfId="1620"/>
    <cellStyle name="SAPBEXheaderText" xfId="1621"/>
    <cellStyle name="SAPBEXheaderText 2" xfId="1622"/>
    <cellStyle name="SAPBEXheaderText 2 2" xfId="1623"/>
    <cellStyle name="SAPBEXHLevel0" xfId="1624"/>
    <cellStyle name="SAPBEXHLevel0 2" xfId="1625"/>
    <cellStyle name="SAPBEXHLevel0 2 2" xfId="1626"/>
    <cellStyle name="SAPBEXHLevel0X" xfId="1627"/>
    <cellStyle name="SAPBEXHLevel0X 2" xfId="1628"/>
    <cellStyle name="SAPBEXHLevel0X 2 2" xfId="1629"/>
    <cellStyle name="SAPBEXHLevel1" xfId="1630"/>
    <cellStyle name="SAPBEXHLevel1 2" xfId="1631"/>
    <cellStyle name="SAPBEXHLevel1 2 2" xfId="1632"/>
    <cellStyle name="SAPBEXHLevel1X" xfId="1633"/>
    <cellStyle name="SAPBEXHLevel1X 2" xfId="1634"/>
    <cellStyle name="SAPBEXHLevel1X 2 2" xfId="1635"/>
    <cellStyle name="SAPBEXHLevel2" xfId="1636"/>
    <cellStyle name="SAPBEXHLevel2 2" xfId="1637"/>
    <cellStyle name="SAPBEXHLevel2 2 2" xfId="1638"/>
    <cellStyle name="SAPBEXHLevel2X" xfId="1639"/>
    <cellStyle name="SAPBEXHLevel2X 2" xfId="1640"/>
    <cellStyle name="SAPBEXHLevel2X 2 2" xfId="1641"/>
    <cellStyle name="SAPBEXHLevel3" xfId="1642"/>
    <cellStyle name="SAPBEXHLevel3 2" xfId="1643"/>
    <cellStyle name="SAPBEXHLevel3 2 2" xfId="1644"/>
    <cellStyle name="SAPBEXHLevel3X" xfId="1645"/>
    <cellStyle name="SAPBEXHLevel3X 2" xfId="1646"/>
    <cellStyle name="SAPBEXHLevel3X 2 2" xfId="1647"/>
    <cellStyle name="SAPBEXinputData" xfId="1648"/>
    <cellStyle name="SAPBEXinputData 2" xfId="1649"/>
    <cellStyle name="SAPBEXinputData 2 2" xfId="1650"/>
    <cellStyle name="SAPBEXresData" xfId="1651"/>
    <cellStyle name="SAPBEXresData 2" xfId="1652"/>
    <cellStyle name="SAPBEXresData 2 2" xfId="1653"/>
    <cellStyle name="SAPBEXresDataEmph" xfId="1654"/>
    <cellStyle name="SAPBEXresDataEmph 2" xfId="1655"/>
    <cellStyle name="SAPBEXresDataEmph 2 2" xfId="1656"/>
    <cellStyle name="SAPBEXresItem" xfId="1657"/>
    <cellStyle name="SAPBEXresItem 2" xfId="1658"/>
    <cellStyle name="SAPBEXresItem 2 2" xfId="1659"/>
    <cellStyle name="SAPBEXresItemX" xfId="1660"/>
    <cellStyle name="SAPBEXresItemX 2" xfId="1661"/>
    <cellStyle name="SAPBEXresItemX 2 2" xfId="1662"/>
    <cellStyle name="SAPBEXstdData" xfId="1663"/>
    <cellStyle name="SAPBEXstdData 2" xfId="1664"/>
    <cellStyle name="SAPBEXstdData 2 2" xfId="1665"/>
    <cellStyle name="SAPBEXstdDataEmph" xfId="1666"/>
    <cellStyle name="SAPBEXstdDataEmph 2" xfId="1667"/>
    <cellStyle name="SAPBEXstdDataEmph 2 2" xfId="1668"/>
    <cellStyle name="SAPBEXstdItem" xfId="1669"/>
    <cellStyle name="SAPBEXstdItemX" xfId="1670"/>
    <cellStyle name="SAPBEXstdItemX 2" xfId="1671"/>
    <cellStyle name="SAPBEXstdItemX 2 2" xfId="1672"/>
    <cellStyle name="SAPBEXtitle" xfId="1673"/>
    <cellStyle name="SAPBEXtitle 2" xfId="1674"/>
    <cellStyle name="SAPBEXtitle 2 2" xfId="1675"/>
    <cellStyle name="SAPBEXundefined" xfId="1676"/>
    <cellStyle name="SAPBEXundefined 2" xfId="1677"/>
    <cellStyle name="SAPBEXundefined 2 2" xfId="1678"/>
    <cellStyle name="STOCK" xfId="1679"/>
    <cellStyle name="Style 1" xfId="1695"/>
    <cellStyle name="Times New Roman" xfId="1680"/>
    <cellStyle name="Total 2" xfId="16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[1]Petcoke_Prediction!$G$5</c:f>
              <c:strCache>
                <c:ptCount val="1"/>
                <c:pt idx="0">
                  <c:v>Predictive for petcoke  % E </c:v>
                </c:pt>
              </c:strCache>
            </c:strRef>
          </c:tx>
          <c:val>
            <c:numRef>
              <c:f>[1]Petcoke_Prediction!$G$6:$G$34</c:f>
              <c:numCache>
                <c:formatCode>0.00</c:formatCode>
                <c:ptCount val="29"/>
                <c:pt idx="3">
                  <c:v>0.98658258010347422</c:v>
                </c:pt>
                <c:pt idx="4">
                  <c:v>0.99975831916925206</c:v>
                </c:pt>
                <c:pt idx="5">
                  <c:v>0.98585656936331389</c:v>
                </c:pt>
                <c:pt idx="6">
                  <c:v>0.95407001165926397</c:v>
                </c:pt>
                <c:pt idx="7">
                  <c:v>1.0007890926806506</c:v>
                </c:pt>
                <c:pt idx="8">
                  <c:v>1.0009461646052162</c:v>
                </c:pt>
                <c:pt idx="9">
                  <c:v>1.0122765257894377</c:v>
                </c:pt>
                <c:pt idx="10">
                  <c:v>1.0297244763833278</c:v>
                </c:pt>
                <c:pt idx="11">
                  <c:v>0.97237352506305608</c:v>
                </c:pt>
                <c:pt idx="12">
                  <c:v>1.0260798423855877</c:v>
                </c:pt>
                <c:pt idx="13">
                  <c:v>0.93881973259566609</c:v>
                </c:pt>
                <c:pt idx="14">
                  <c:v>0.81287784604171143</c:v>
                </c:pt>
                <c:pt idx="15">
                  <c:v>0.85055643879173282</c:v>
                </c:pt>
                <c:pt idx="16">
                  <c:v>0.95700934579439256</c:v>
                </c:pt>
                <c:pt idx="17">
                  <c:v>1.0625</c:v>
                </c:pt>
                <c:pt idx="18">
                  <c:v>1.09375</c:v>
                </c:pt>
                <c:pt idx="19">
                  <c:v>1.0386554621848738</c:v>
                </c:pt>
                <c:pt idx="20">
                  <c:v>1.1245954692556634</c:v>
                </c:pt>
                <c:pt idx="21">
                  <c:v>1.0676258992805756</c:v>
                </c:pt>
                <c:pt idx="22">
                  <c:v>1.0983827493261455</c:v>
                </c:pt>
                <c:pt idx="23">
                  <c:v>1.0429447852760736</c:v>
                </c:pt>
                <c:pt idx="24">
                  <c:v>1.0329411764705883</c:v>
                </c:pt>
                <c:pt idx="25">
                  <c:v>0.99202733485193639</c:v>
                </c:pt>
                <c:pt idx="26">
                  <c:v>0.99885189437428223</c:v>
                </c:pt>
                <c:pt idx="27">
                  <c:v>0.9655172413793105</c:v>
                </c:pt>
                <c:pt idx="28">
                  <c:v>0.95238095238095233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[1]Petcoke_Prediction!$H$5</c:f>
              <c:strCache>
                <c:ptCount val="1"/>
                <c:pt idx="0">
                  <c:v>Predictive for petcoke  % F</c:v>
                </c:pt>
              </c:strCache>
            </c:strRef>
          </c:tx>
          <c:val>
            <c:numRef>
              <c:f>[1]Petcoke_Prediction!$H$6:$H$34</c:f>
              <c:numCache>
                <c:formatCode>0.00</c:formatCode>
                <c:ptCount val="29"/>
                <c:pt idx="4">
                  <c:v>0.89659768216345659</c:v>
                </c:pt>
                <c:pt idx="5">
                  <c:v>0.82479206963321605</c:v>
                </c:pt>
                <c:pt idx="6">
                  <c:v>0.8267139052685919</c:v>
                </c:pt>
                <c:pt idx="7">
                  <c:v>0.89658373419035375</c:v>
                </c:pt>
                <c:pt idx="8">
                  <c:v>1.0319392258557163</c:v>
                </c:pt>
                <c:pt idx="9">
                  <c:v>0.95584597228899881</c:v>
                </c:pt>
                <c:pt idx="10">
                  <c:v>1.2530458465489194</c:v>
                </c:pt>
                <c:pt idx="11">
                  <c:v>1.0237813878181388</c:v>
                </c:pt>
                <c:pt idx="12">
                  <c:v>0.98635913415215781</c:v>
                </c:pt>
                <c:pt idx="13">
                  <c:v>0.78650941779439365</c:v>
                </c:pt>
                <c:pt idx="14">
                  <c:v>0.99351651841492905</c:v>
                </c:pt>
                <c:pt idx="15">
                  <c:v>1.006809608447514</c:v>
                </c:pt>
                <c:pt idx="16">
                  <c:v>1.0016892325289408</c:v>
                </c:pt>
                <c:pt idx="17">
                  <c:v>0.91815130688550284</c:v>
                </c:pt>
                <c:pt idx="18">
                  <c:v>0.89598226097035527</c:v>
                </c:pt>
                <c:pt idx="19">
                  <c:v>0.90969342988275204</c:v>
                </c:pt>
                <c:pt idx="20">
                  <c:v>1.0277151022365785</c:v>
                </c:pt>
                <c:pt idx="21">
                  <c:v>1.1112864394488764</c:v>
                </c:pt>
                <c:pt idx="22">
                  <c:v>1.1879384369805024</c:v>
                </c:pt>
                <c:pt idx="23">
                  <c:v>1.04266388415806</c:v>
                </c:pt>
                <c:pt idx="24">
                  <c:v>1.0220056204689596</c:v>
                </c:pt>
                <c:pt idx="25">
                  <c:v>0.9727058895405668</c:v>
                </c:pt>
                <c:pt idx="26">
                  <c:v>0.99158671586715874</c:v>
                </c:pt>
                <c:pt idx="27">
                  <c:v>0.98702754745903332</c:v>
                </c:pt>
                <c:pt idx="28">
                  <c:v>1.0022140221402216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6400"/>
        <c:axId val="173048192"/>
      </c:lineChart>
      <c:catAx>
        <c:axId val="1730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48192"/>
        <c:crosses val="autoZero"/>
        <c:auto val="1"/>
        <c:lblAlgn val="ctr"/>
        <c:lblOffset val="100"/>
        <c:noMultiLvlLbl val="0"/>
      </c:catAx>
      <c:valAx>
        <c:axId val="173048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304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50</xdr:row>
      <xdr:rowOff>138112</xdr:rowOff>
    </xdr:from>
    <xdr:to>
      <xdr:col>8</xdr:col>
      <xdr:colOff>0</xdr:colOff>
      <xdr:row>67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tcoke-Imbalance%20and%20Coal%20stor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coke_Prediction"/>
      <sheetName val="Sheet1"/>
      <sheetName val="Coal Stock-Summary"/>
      <sheetName val="GAIL Imbalance- Summary"/>
    </sheetNames>
    <sheetDataSet>
      <sheetData sheetId="0">
        <row r="5">
          <cell r="G5" t="str">
            <v xml:space="preserve">Predictive for petcoke  % E </v>
          </cell>
          <cell r="H5" t="str">
            <v>Predictive for petcoke  % F</v>
          </cell>
        </row>
        <row r="9">
          <cell r="G9">
            <v>0.98658258010347422</v>
          </cell>
        </row>
        <row r="10">
          <cell r="G10">
            <v>0.99975831916925206</v>
          </cell>
          <cell r="H10">
            <v>0.89659768216345659</v>
          </cell>
        </row>
        <row r="11">
          <cell r="G11">
            <v>0.98585656936331389</v>
          </cell>
          <cell r="H11">
            <v>0.82479206963321605</v>
          </cell>
        </row>
        <row r="12">
          <cell r="G12">
            <v>0.95407001165926397</v>
          </cell>
          <cell r="H12">
            <v>0.8267139052685919</v>
          </cell>
        </row>
        <row r="13">
          <cell r="G13">
            <v>1.0007890926806506</v>
          </cell>
          <cell r="H13">
            <v>0.89658373419035375</v>
          </cell>
        </row>
        <row r="14">
          <cell r="G14">
            <v>1.0009461646052162</v>
          </cell>
          <cell r="H14">
            <v>1.0319392258557163</v>
          </cell>
        </row>
        <row r="15">
          <cell r="G15">
            <v>1.0122765257894377</v>
          </cell>
          <cell r="H15">
            <v>0.95584597228899881</v>
          </cell>
        </row>
        <row r="16">
          <cell r="G16">
            <v>1.0297244763833278</v>
          </cell>
          <cell r="H16">
            <v>1.2530458465489194</v>
          </cell>
        </row>
        <row r="17">
          <cell r="G17">
            <v>0.97237352506305608</v>
          </cell>
          <cell r="H17">
            <v>1.0237813878181388</v>
          </cell>
        </row>
        <row r="18">
          <cell r="G18">
            <v>1.0260798423855877</v>
          </cell>
          <cell r="H18">
            <v>0.98635913415215781</v>
          </cell>
        </row>
        <row r="19">
          <cell r="G19">
            <v>0.93881973259566609</v>
          </cell>
          <cell r="H19">
            <v>0.78650941779439365</v>
          </cell>
        </row>
        <row r="20">
          <cell r="G20">
            <v>0.81287784604171143</v>
          </cell>
          <cell r="H20">
            <v>0.99351651841492905</v>
          </cell>
        </row>
        <row r="21">
          <cell r="G21">
            <v>0.85055643879173282</v>
          </cell>
          <cell r="H21">
            <v>1.006809608447514</v>
          </cell>
        </row>
        <row r="22">
          <cell r="G22">
            <v>0.95700934579439256</v>
          </cell>
          <cell r="H22">
            <v>1.0016892325289408</v>
          </cell>
        </row>
        <row r="23">
          <cell r="G23">
            <v>1.0625</v>
          </cell>
          <cell r="H23">
            <v>0.91815130688550284</v>
          </cell>
        </row>
        <row r="24">
          <cell r="G24">
            <v>1.09375</v>
          </cell>
          <cell r="H24">
            <v>0.89598226097035527</v>
          </cell>
        </row>
        <row r="25">
          <cell r="G25">
            <v>1.0386554621848738</v>
          </cell>
          <cell r="H25">
            <v>0.90969342988275204</v>
          </cell>
        </row>
        <row r="26">
          <cell r="G26">
            <v>1.1245954692556634</v>
          </cell>
          <cell r="H26">
            <v>1.0277151022365785</v>
          </cell>
        </row>
        <row r="27">
          <cell r="G27">
            <v>1.0676258992805756</v>
          </cell>
          <cell r="H27">
            <v>1.1112864394488764</v>
          </cell>
        </row>
        <row r="28">
          <cell r="G28">
            <v>1.0983827493261455</v>
          </cell>
          <cell r="H28">
            <v>1.1879384369805024</v>
          </cell>
        </row>
        <row r="29">
          <cell r="G29">
            <v>1.0429447852760736</v>
          </cell>
          <cell r="H29">
            <v>1.04266388415806</v>
          </cell>
        </row>
        <row r="30">
          <cell r="G30">
            <v>1.0329411764705883</v>
          </cell>
          <cell r="H30">
            <v>1.0220056204689596</v>
          </cell>
        </row>
        <row r="31">
          <cell r="G31">
            <v>0.99202733485193639</v>
          </cell>
          <cell r="H31">
            <v>0.9727058895405668</v>
          </cell>
        </row>
        <row r="32">
          <cell r="G32">
            <v>0.99885189437428223</v>
          </cell>
          <cell r="H32">
            <v>0.99158671586715874</v>
          </cell>
        </row>
        <row r="33">
          <cell r="G33">
            <v>0.9655172413793105</v>
          </cell>
          <cell r="H33">
            <v>0.98702754745903332</v>
          </cell>
        </row>
        <row r="34">
          <cell r="G34">
            <v>0.95238095238095233</v>
          </cell>
          <cell r="H34">
            <v>1.0022140221402216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H10" sqref="H10"/>
    </sheetView>
  </sheetViews>
  <sheetFormatPr defaultRowHeight="12.75" x14ac:dyDescent="0.2"/>
  <cols>
    <col min="1" max="1" width="3.28515625" style="3" customWidth="1"/>
    <col min="2" max="2" width="7.42578125" style="10" bestFit="1" customWidth="1"/>
    <col min="3" max="3" width="6.140625" style="10" bestFit="1" customWidth="1"/>
    <col min="4" max="5" width="7.5703125" style="10" bestFit="1" customWidth="1"/>
    <col min="6" max="6" width="7" style="10" bestFit="1" customWidth="1"/>
    <col min="7" max="7" width="9.28515625" style="10" bestFit="1" customWidth="1"/>
    <col min="8" max="8" width="7.85546875" style="10" bestFit="1" customWidth="1"/>
    <col min="9" max="9" width="8.140625" style="10" bestFit="1" customWidth="1"/>
    <col min="10" max="10" width="7.85546875" style="10" bestFit="1" customWidth="1"/>
    <col min="11" max="11" width="11.42578125" style="10" bestFit="1" customWidth="1"/>
    <col min="12" max="12" width="7.85546875" style="10" bestFit="1" customWidth="1"/>
    <col min="13" max="13" width="10.140625" style="10" bestFit="1" customWidth="1"/>
    <col min="14" max="14" width="9.42578125" style="10" bestFit="1" customWidth="1"/>
    <col min="15" max="16384" width="9.140625" style="3"/>
  </cols>
  <sheetData>
    <row r="2" spans="2:14" x14ac:dyDescent="0.2">
      <c r="B2" s="2"/>
      <c r="C2" s="2"/>
      <c r="D2" s="2"/>
      <c r="E2" s="2"/>
      <c r="F2" s="46" t="s">
        <v>0</v>
      </c>
      <c r="G2" s="46"/>
      <c r="H2" s="46"/>
      <c r="I2" s="11" t="s">
        <v>1</v>
      </c>
      <c r="J2" s="12" t="s">
        <v>5</v>
      </c>
      <c r="K2" s="12" t="s">
        <v>4</v>
      </c>
      <c r="L2" s="46" t="s">
        <v>3</v>
      </c>
      <c r="M2" s="46"/>
      <c r="N2" s="11" t="s">
        <v>2</v>
      </c>
    </row>
    <row r="3" spans="2:14" ht="30" x14ac:dyDescent="0.3">
      <c r="B3" s="35" t="s">
        <v>6</v>
      </c>
      <c r="C3" s="35" t="s">
        <v>8</v>
      </c>
      <c r="D3" s="36" t="s">
        <v>9</v>
      </c>
      <c r="E3" s="36" t="s">
        <v>7</v>
      </c>
      <c r="F3" s="37" t="s">
        <v>10</v>
      </c>
      <c r="G3" s="38" t="s">
        <v>11</v>
      </c>
      <c r="H3" s="39" t="s">
        <v>12</v>
      </c>
      <c r="I3" s="37" t="s">
        <v>13</v>
      </c>
      <c r="J3" s="40" t="s">
        <v>14</v>
      </c>
      <c r="K3" s="41" t="s">
        <v>15</v>
      </c>
      <c r="L3" s="42" t="s">
        <v>16</v>
      </c>
      <c r="M3" s="43" t="s">
        <v>17</v>
      </c>
      <c r="N3" s="41" t="s">
        <v>18</v>
      </c>
    </row>
    <row r="4" spans="2:14" ht="15" x14ac:dyDescent="0.25">
      <c r="B4" s="30">
        <v>41759</v>
      </c>
      <c r="C4" s="32"/>
      <c r="D4" s="4">
        <v>104.87</v>
      </c>
      <c r="E4" s="4"/>
      <c r="F4" s="5">
        <v>107.83</v>
      </c>
      <c r="G4" s="5">
        <v>127.82</v>
      </c>
      <c r="H4" s="5">
        <v>107.26</v>
      </c>
      <c r="I4" s="6">
        <v>116.5</v>
      </c>
      <c r="J4" s="5">
        <v>119.11</v>
      </c>
      <c r="K4" s="5">
        <v>112.45</v>
      </c>
      <c r="L4" s="5">
        <v>112.25</v>
      </c>
      <c r="M4" s="5">
        <v>123.34</v>
      </c>
      <c r="N4" s="5"/>
    </row>
    <row r="5" spans="2:14" ht="15" x14ac:dyDescent="0.25">
      <c r="B5" s="30">
        <v>41790</v>
      </c>
      <c r="C5" s="33"/>
      <c r="D5" s="4">
        <v>105.71</v>
      </c>
      <c r="E5" s="4"/>
      <c r="F5" s="5">
        <v>107.83</v>
      </c>
      <c r="G5" s="5">
        <v>127.82</v>
      </c>
      <c r="H5" s="5">
        <v>107.26</v>
      </c>
      <c r="I5" s="6">
        <v>116.5</v>
      </c>
      <c r="J5" s="5">
        <v>120.61</v>
      </c>
      <c r="K5" s="5">
        <v>113.95</v>
      </c>
      <c r="L5" s="5">
        <v>113.75</v>
      </c>
      <c r="M5" s="5">
        <v>124.34</v>
      </c>
      <c r="N5" s="5"/>
    </row>
    <row r="6" spans="2:14" ht="15" x14ac:dyDescent="0.25">
      <c r="B6" s="30">
        <v>41820</v>
      </c>
      <c r="C6" s="33"/>
      <c r="D6" s="4">
        <v>108.37</v>
      </c>
      <c r="E6" s="4"/>
      <c r="F6" s="5">
        <v>107.93</v>
      </c>
      <c r="G6" s="5">
        <v>125.82</v>
      </c>
      <c r="H6" s="5">
        <v>107.36</v>
      </c>
      <c r="I6" s="6">
        <v>115.57</v>
      </c>
      <c r="J6" s="5">
        <v>119.62</v>
      </c>
      <c r="K6" s="5">
        <v>112.05</v>
      </c>
      <c r="L6" s="5">
        <v>112.85</v>
      </c>
      <c r="M6" s="5">
        <v>123.34</v>
      </c>
      <c r="N6" s="5"/>
    </row>
    <row r="7" spans="2:14" ht="15" x14ac:dyDescent="0.25">
      <c r="B7" s="30">
        <v>41851</v>
      </c>
      <c r="C7" s="33"/>
      <c r="D7" s="4">
        <v>105.23</v>
      </c>
      <c r="E7" s="4"/>
      <c r="F7" s="5">
        <v>109.93</v>
      </c>
      <c r="G7" s="5">
        <v>125.82</v>
      </c>
      <c r="H7" s="5">
        <v>109.36</v>
      </c>
      <c r="I7" s="6">
        <v>119.57</v>
      </c>
      <c r="J7" s="5">
        <v>120.62</v>
      </c>
      <c r="K7" s="5">
        <v>116.05</v>
      </c>
      <c r="L7" s="5">
        <v>115.85</v>
      </c>
      <c r="M7" s="5">
        <v>124.34</v>
      </c>
      <c r="N7" s="5"/>
    </row>
    <row r="8" spans="2:14" ht="15" x14ac:dyDescent="0.25">
      <c r="B8" s="30">
        <v>41882</v>
      </c>
      <c r="C8" s="29">
        <f>(61.85+61.25)/2</f>
        <v>61.55</v>
      </c>
      <c r="D8" s="4">
        <v>100.05</v>
      </c>
      <c r="E8" s="34">
        <f>D8*C8</f>
        <v>6158.0774999999994</v>
      </c>
      <c r="F8" s="5">
        <v>113.93</v>
      </c>
      <c r="G8" s="5">
        <v>125.82</v>
      </c>
      <c r="H8" s="5">
        <v>113.86</v>
      </c>
      <c r="I8" s="6">
        <v>120.57</v>
      </c>
      <c r="J8" s="5">
        <v>120.62</v>
      </c>
      <c r="K8" s="5">
        <v>116.05</v>
      </c>
      <c r="L8" s="5">
        <v>116.85</v>
      </c>
      <c r="M8" s="5">
        <v>124.34</v>
      </c>
      <c r="N8" s="5"/>
    </row>
    <row r="9" spans="2:14" ht="15" x14ac:dyDescent="0.25">
      <c r="B9" s="30">
        <v>41912</v>
      </c>
      <c r="C9" s="29">
        <f>(61+61.75)/2</f>
        <v>61.375</v>
      </c>
      <c r="D9" s="4">
        <v>95.85</v>
      </c>
      <c r="E9" s="34">
        <f t="shared" ref="E9:E39" si="0">D9*C9</f>
        <v>5882.7937499999998</v>
      </c>
      <c r="F9" s="5">
        <v>114.03</v>
      </c>
      <c r="G9" s="5">
        <v>119.93</v>
      </c>
      <c r="H9" s="5">
        <v>113.06</v>
      </c>
      <c r="I9" s="6">
        <v>120.57</v>
      </c>
      <c r="J9" s="5">
        <v>120.62</v>
      </c>
      <c r="K9" s="5">
        <v>117.55</v>
      </c>
      <c r="L9" s="5">
        <v>116.85</v>
      </c>
      <c r="M9" s="5">
        <v>124.34</v>
      </c>
      <c r="N9" s="5"/>
    </row>
    <row r="10" spans="2:14" ht="15" x14ac:dyDescent="0.25">
      <c r="B10" s="30">
        <v>41943</v>
      </c>
      <c r="C10" s="29">
        <f>(62.3+62.05)/2</f>
        <v>62.174999999999997</v>
      </c>
      <c r="D10" s="4">
        <v>86.08</v>
      </c>
      <c r="E10" s="34">
        <f t="shared" si="0"/>
        <v>5352.0239999999994</v>
      </c>
      <c r="F10" s="5">
        <v>114.03</v>
      </c>
      <c r="G10" s="5">
        <v>121.93</v>
      </c>
      <c r="H10" s="5">
        <v>113.96</v>
      </c>
      <c r="I10" s="6">
        <v>116.67</v>
      </c>
      <c r="J10" s="5">
        <v>113.77</v>
      </c>
      <c r="K10" s="5">
        <v>111.65</v>
      </c>
      <c r="L10" s="5">
        <v>110.95</v>
      </c>
      <c r="M10" s="5">
        <v>117.45</v>
      </c>
      <c r="N10" s="5"/>
    </row>
    <row r="11" spans="2:14" ht="15" x14ac:dyDescent="0.25">
      <c r="B11" s="30">
        <v>41973</v>
      </c>
      <c r="C11" s="29">
        <f>(61.9+62.6)/2</f>
        <v>62.25</v>
      </c>
      <c r="D11" s="4">
        <v>76.989999999999995</v>
      </c>
      <c r="E11" s="34">
        <f t="shared" si="0"/>
        <v>4792.6274999999996</v>
      </c>
      <c r="F11" s="5">
        <v>106.03</v>
      </c>
      <c r="G11" s="5">
        <v>107.93</v>
      </c>
      <c r="H11" s="5">
        <v>105.96</v>
      </c>
      <c r="I11" s="7">
        <v>112.67</v>
      </c>
      <c r="J11" s="5">
        <v>107.77</v>
      </c>
      <c r="K11" s="5">
        <v>107.65</v>
      </c>
      <c r="L11" s="5">
        <v>106.95</v>
      </c>
      <c r="M11" s="5">
        <v>111.45</v>
      </c>
      <c r="N11" s="5"/>
    </row>
    <row r="12" spans="2:14" ht="15" x14ac:dyDescent="0.25">
      <c r="B12" s="30">
        <v>42004</v>
      </c>
      <c r="C12" s="29">
        <f>(62.5+63.85)/2</f>
        <v>63.174999999999997</v>
      </c>
      <c r="D12" s="25">
        <v>60.7</v>
      </c>
      <c r="E12" s="34">
        <f t="shared" si="0"/>
        <v>3834.7224999999999</v>
      </c>
      <c r="F12" s="5">
        <v>103.02</v>
      </c>
      <c r="G12" s="6">
        <v>103.9</v>
      </c>
      <c r="H12" s="5">
        <v>102.95</v>
      </c>
      <c r="I12" s="7">
        <v>109.16</v>
      </c>
      <c r="J12" s="5">
        <v>102.74</v>
      </c>
      <c r="K12" s="5">
        <v>103.64</v>
      </c>
      <c r="L12" s="5">
        <v>102.94</v>
      </c>
      <c r="M12" s="5">
        <v>106.42</v>
      </c>
      <c r="N12" s="5"/>
    </row>
    <row r="13" spans="2:14" ht="15" x14ac:dyDescent="0.25">
      <c r="B13" s="30">
        <v>42035</v>
      </c>
      <c r="C13" s="29">
        <f>(63.8+62.3+62.3)/3</f>
        <v>62.79999999999999</v>
      </c>
      <c r="D13" s="4">
        <v>47.11</v>
      </c>
      <c r="E13" s="34">
        <f t="shared" si="0"/>
        <v>2958.5079999999994</v>
      </c>
      <c r="F13" s="5">
        <v>87.01</v>
      </c>
      <c r="G13" s="5">
        <v>93.89</v>
      </c>
      <c r="H13" s="5">
        <v>86.94</v>
      </c>
      <c r="I13" s="7">
        <v>99.15</v>
      </c>
      <c r="J13" s="5">
        <v>93.73</v>
      </c>
      <c r="K13" s="5">
        <v>91.63</v>
      </c>
      <c r="L13" s="5">
        <v>90.93</v>
      </c>
      <c r="M13" s="5">
        <v>97.41</v>
      </c>
      <c r="N13" s="5"/>
    </row>
    <row r="14" spans="2:14" ht="15" x14ac:dyDescent="0.25">
      <c r="B14" s="30">
        <v>42063</v>
      </c>
      <c r="C14" s="29">
        <f>(62.45+62.8)/2</f>
        <v>62.625</v>
      </c>
      <c r="D14" s="4">
        <v>54.79</v>
      </c>
      <c r="E14" s="34">
        <f t="shared" si="0"/>
        <v>3431.2237500000001</v>
      </c>
      <c r="F14" s="5">
        <v>85.01</v>
      </c>
      <c r="G14" s="5">
        <v>93.89</v>
      </c>
      <c r="H14" s="5">
        <v>83.94</v>
      </c>
      <c r="I14" s="7">
        <v>89.15</v>
      </c>
      <c r="J14" s="5">
        <v>91.73</v>
      </c>
      <c r="K14" s="5">
        <v>81.63</v>
      </c>
      <c r="L14" s="5">
        <v>79.930000000000007</v>
      </c>
      <c r="M14" s="5">
        <v>95.41</v>
      </c>
      <c r="N14" s="5"/>
    </row>
    <row r="15" spans="2:14" ht="15" x14ac:dyDescent="0.25">
      <c r="B15" s="30">
        <v>42094</v>
      </c>
      <c r="C15" s="29">
        <f>(62.8+63)/2</f>
        <v>62.9</v>
      </c>
      <c r="D15" s="4">
        <v>52.83</v>
      </c>
      <c r="E15" s="34">
        <f t="shared" si="0"/>
        <v>3323.0069999999996</v>
      </c>
      <c r="F15" s="5">
        <v>92.01</v>
      </c>
      <c r="G15" s="5">
        <v>100.89</v>
      </c>
      <c r="H15" s="5">
        <v>90.94</v>
      </c>
      <c r="I15" s="1">
        <v>96.52</v>
      </c>
      <c r="J15" s="5">
        <v>98.73</v>
      </c>
      <c r="K15" s="5">
        <v>88.63</v>
      </c>
      <c r="L15" s="5">
        <v>86.93</v>
      </c>
      <c r="M15" s="5">
        <v>102.41</v>
      </c>
      <c r="N15" s="5"/>
    </row>
    <row r="16" spans="2:14" ht="15" x14ac:dyDescent="0.25">
      <c r="B16" s="30">
        <v>42124</v>
      </c>
      <c r="C16" s="29">
        <f>(63.2+62.95)/2</f>
        <v>63.075000000000003</v>
      </c>
      <c r="D16" s="4">
        <v>57.54</v>
      </c>
      <c r="E16" s="34">
        <f t="shared" si="0"/>
        <v>3629.3355000000001</v>
      </c>
      <c r="F16" s="5">
        <v>97.61</v>
      </c>
      <c r="G16" s="5">
        <v>103.89</v>
      </c>
      <c r="H16" s="5">
        <v>96.54</v>
      </c>
      <c r="I16" s="1">
        <v>102.22</v>
      </c>
      <c r="J16" s="5">
        <v>101.73</v>
      </c>
      <c r="K16" s="5">
        <v>97.13</v>
      </c>
      <c r="L16" s="5">
        <v>95.43</v>
      </c>
      <c r="M16" s="5">
        <v>105.41</v>
      </c>
      <c r="N16" s="5"/>
    </row>
    <row r="17" spans="2:14" ht="15" x14ac:dyDescent="0.25">
      <c r="B17" s="30">
        <v>42155</v>
      </c>
      <c r="C17" s="29">
        <f>(62.95+64.35+64.3)/3</f>
        <v>63.866666666666667</v>
      </c>
      <c r="D17" s="4">
        <v>62.51</v>
      </c>
      <c r="E17" s="34">
        <f t="shared" si="0"/>
        <v>3992.3053333333332</v>
      </c>
      <c r="F17" s="5">
        <v>105.61</v>
      </c>
      <c r="G17" s="5">
        <v>120.89</v>
      </c>
      <c r="H17" s="5">
        <v>103.54</v>
      </c>
      <c r="I17" s="1">
        <v>109.64</v>
      </c>
      <c r="J17" s="5">
        <v>111.73</v>
      </c>
      <c r="K17" s="5">
        <v>106.13</v>
      </c>
      <c r="L17" s="5">
        <v>104.43</v>
      </c>
      <c r="M17" s="5">
        <v>115.41</v>
      </c>
      <c r="N17" s="5"/>
    </row>
    <row r="18" spans="2:14" ht="15" x14ac:dyDescent="0.25">
      <c r="B18" s="30">
        <v>42185</v>
      </c>
      <c r="C18" s="29">
        <f>(64.75+64.55)/2</f>
        <v>64.650000000000006</v>
      </c>
      <c r="D18" s="4">
        <v>61.31</v>
      </c>
      <c r="E18" s="34">
        <f t="shared" si="0"/>
        <v>3963.6915000000004</v>
      </c>
      <c r="F18" s="5">
        <v>104.64</v>
      </c>
      <c r="G18" s="5">
        <v>120.91</v>
      </c>
      <c r="H18" s="5">
        <v>102.57</v>
      </c>
      <c r="I18" s="1">
        <v>106.68</v>
      </c>
      <c r="J18" s="5">
        <v>111.74</v>
      </c>
      <c r="K18" s="5">
        <v>104.16</v>
      </c>
      <c r="L18" s="5">
        <v>102.46</v>
      </c>
      <c r="M18" s="5">
        <v>113.43</v>
      </c>
      <c r="N18" s="5"/>
    </row>
    <row r="19" spans="2:14" ht="15" x14ac:dyDescent="0.25">
      <c r="B19" s="30">
        <v>42216</v>
      </c>
      <c r="C19" s="29">
        <f>(64.25+64.1)/2</f>
        <v>64.174999999999997</v>
      </c>
      <c r="D19" s="4">
        <v>54.34</v>
      </c>
      <c r="E19" s="34">
        <f t="shared" si="0"/>
        <v>3487.2694999999999</v>
      </c>
      <c r="F19" s="5">
        <v>99.64</v>
      </c>
      <c r="G19" s="5">
        <v>109.91</v>
      </c>
      <c r="H19" s="5">
        <v>97.57</v>
      </c>
      <c r="I19" s="1">
        <v>105.68</v>
      </c>
      <c r="J19" s="5">
        <v>106.74</v>
      </c>
      <c r="K19" s="5">
        <v>99.16</v>
      </c>
      <c r="L19" s="5">
        <v>97.46</v>
      </c>
      <c r="M19" s="5">
        <v>108.43</v>
      </c>
      <c r="N19" s="5"/>
    </row>
    <row r="20" spans="2:14" ht="15" x14ac:dyDescent="0.25">
      <c r="B20" s="30">
        <v>42247</v>
      </c>
      <c r="C20" s="29">
        <f>(64.35+65.75+65.75)/3</f>
        <v>65.283333333333331</v>
      </c>
      <c r="D20" s="4">
        <v>45.69</v>
      </c>
      <c r="E20" s="34">
        <f t="shared" si="0"/>
        <v>2982.7954999999997</v>
      </c>
      <c r="F20" s="5">
        <v>96.63</v>
      </c>
      <c r="G20" s="5">
        <v>105.81</v>
      </c>
      <c r="H20" s="5">
        <v>95.03</v>
      </c>
      <c r="I20" s="7">
        <v>102.66</v>
      </c>
      <c r="J20" s="5">
        <v>99.69</v>
      </c>
      <c r="K20" s="5">
        <v>95.15</v>
      </c>
      <c r="L20" s="5">
        <v>93.45</v>
      </c>
      <c r="M20" s="5">
        <v>101.33</v>
      </c>
      <c r="N20" s="5"/>
    </row>
    <row r="21" spans="2:14" ht="15" x14ac:dyDescent="0.25">
      <c r="B21" s="30">
        <v>42277</v>
      </c>
      <c r="C21" s="29">
        <f>(66.85+67.05)/2</f>
        <v>66.949999999999989</v>
      </c>
      <c r="D21" s="4">
        <v>46.28</v>
      </c>
      <c r="E21" s="34">
        <f t="shared" si="0"/>
        <v>3098.4459999999995</v>
      </c>
      <c r="F21" s="5">
        <v>89.12</v>
      </c>
      <c r="G21" s="5">
        <v>95.76</v>
      </c>
      <c r="H21" s="5">
        <v>88.52</v>
      </c>
      <c r="I21" s="7">
        <v>96.15</v>
      </c>
      <c r="J21" s="5">
        <v>91.66</v>
      </c>
      <c r="K21" s="5">
        <v>88.63</v>
      </c>
      <c r="L21" s="5">
        <v>86.94</v>
      </c>
      <c r="M21" s="5">
        <v>93.28</v>
      </c>
      <c r="N21" s="5"/>
    </row>
    <row r="22" spans="2:14" ht="15" x14ac:dyDescent="0.25">
      <c r="B22" s="30">
        <v>42308</v>
      </c>
      <c r="C22" s="29">
        <f>(66.15+65.35)/2</f>
        <v>65.75</v>
      </c>
      <c r="D22" s="4">
        <v>46.96</v>
      </c>
      <c r="E22" s="34">
        <f t="shared" si="0"/>
        <v>3087.62</v>
      </c>
      <c r="F22" s="5">
        <v>91.12</v>
      </c>
      <c r="G22" s="5">
        <v>98.76</v>
      </c>
      <c r="H22" s="5">
        <v>90.52</v>
      </c>
      <c r="I22" s="7">
        <v>98.15</v>
      </c>
      <c r="J22" s="5">
        <v>94.66</v>
      </c>
      <c r="K22" s="5">
        <v>90.63</v>
      </c>
      <c r="L22" s="5">
        <v>88.94</v>
      </c>
      <c r="M22" s="5">
        <v>97.28</v>
      </c>
      <c r="N22" s="13">
        <v>9892.5</v>
      </c>
    </row>
    <row r="23" spans="2:14" ht="15" x14ac:dyDescent="0.25">
      <c r="B23" s="30">
        <v>42338</v>
      </c>
      <c r="C23" s="29">
        <f>(66.2+66.7)/2</f>
        <v>66.45</v>
      </c>
      <c r="D23" s="4">
        <v>43.11</v>
      </c>
      <c r="E23" s="34">
        <f t="shared" si="0"/>
        <v>2864.6595000000002</v>
      </c>
      <c r="F23" s="5">
        <v>89.11</v>
      </c>
      <c r="G23" s="5">
        <v>95.75</v>
      </c>
      <c r="H23" s="5">
        <v>87.04</v>
      </c>
      <c r="I23" s="7">
        <v>96.15</v>
      </c>
      <c r="J23" s="5">
        <v>89.67</v>
      </c>
      <c r="K23" s="5">
        <v>85.63</v>
      </c>
      <c r="L23" s="5">
        <v>83.93</v>
      </c>
      <c r="M23" s="6">
        <v>92.3</v>
      </c>
      <c r="N23" s="14">
        <v>10338.4</v>
      </c>
    </row>
    <row r="24" spans="2:14" ht="15" x14ac:dyDescent="0.25">
      <c r="B24" s="30">
        <v>42369</v>
      </c>
      <c r="C24" s="29">
        <f>(67.25+67.2)/2</f>
        <v>67.224999999999994</v>
      </c>
      <c r="D24" s="4">
        <v>36.57</v>
      </c>
      <c r="E24" s="34">
        <f t="shared" si="0"/>
        <v>2458.4182499999997</v>
      </c>
      <c r="F24" s="5">
        <v>85.26</v>
      </c>
      <c r="G24" s="5">
        <v>90.88</v>
      </c>
      <c r="H24" s="5">
        <v>82.39</v>
      </c>
      <c r="I24" s="7">
        <v>91.15</v>
      </c>
      <c r="J24" s="5">
        <v>87.67</v>
      </c>
      <c r="K24" s="5">
        <v>84.13</v>
      </c>
      <c r="L24" s="5">
        <v>82.43</v>
      </c>
      <c r="M24" s="5">
        <v>90.31</v>
      </c>
      <c r="N24" s="15">
        <v>9225</v>
      </c>
    </row>
    <row r="25" spans="2:14" ht="15" x14ac:dyDescent="0.25">
      <c r="B25" s="30">
        <v>42400</v>
      </c>
      <c r="C25" s="29">
        <f>(67.45+68.4)/2</f>
        <v>67.925000000000011</v>
      </c>
      <c r="D25" s="4">
        <v>29.78</v>
      </c>
      <c r="E25" s="34">
        <f t="shared" si="0"/>
        <v>2022.8065000000004</v>
      </c>
      <c r="F25" s="5">
        <v>83.11</v>
      </c>
      <c r="G25" s="5">
        <v>88.79</v>
      </c>
      <c r="H25" s="5">
        <v>81.69</v>
      </c>
      <c r="I25" s="7">
        <v>85.42</v>
      </c>
      <c r="J25" s="8">
        <v>84.82</v>
      </c>
      <c r="K25" s="5">
        <v>82.13</v>
      </c>
      <c r="L25" s="5">
        <v>80.430000000000007</v>
      </c>
      <c r="M25" s="5">
        <v>88.31</v>
      </c>
      <c r="N25" s="16">
        <v>8685.24</v>
      </c>
    </row>
    <row r="26" spans="2:14" ht="15" x14ac:dyDescent="0.25">
      <c r="B26" s="30">
        <v>42429</v>
      </c>
      <c r="C26" s="29">
        <f>(68.45+68.95)/2</f>
        <v>68.7</v>
      </c>
      <c r="D26" s="4">
        <v>31.03</v>
      </c>
      <c r="E26" s="34">
        <f t="shared" si="0"/>
        <v>2131.761</v>
      </c>
      <c r="F26" s="5">
        <v>84.62</v>
      </c>
      <c r="G26" s="5">
        <v>91.79</v>
      </c>
      <c r="H26" s="5">
        <v>83.87</v>
      </c>
      <c r="I26" s="7">
        <v>92.16</v>
      </c>
      <c r="J26" s="5">
        <v>87.82</v>
      </c>
      <c r="K26" s="5">
        <v>84.14</v>
      </c>
      <c r="L26" s="5">
        <v>82.44</v>
      </c>
      <c r="M26" s="5">
        <v>90.31</v>
      </c>
      <c r="N26" s="17">
        <v>8483</v>
      </c>
    </row>
    <row r="27" spans="2:14" ht="15" x14ac:dyDescent="0.25">
      <c r="B27" s="30">
        <v>42460</v>
      </c>
      <c r="C27" s="29">
        <f>(68+67.45)/2</f>
        <v>67.724999999999994</v>
      </c>
      <c r="D27" s="4">
        <v>37.340000000000003</v>
      </c>
      <c r="E27" s="34">
        <f t="shared" si="0"/>
        <v>2528.8515000000002</v>
      </c>
      <c r="F27" s="5">
        <v>88.62</v>
      </c>
      <c r="G27" s="5">
        <v>97.79</v>
      </c>
      <c r="H27" s="5">
        <v>88.41</v>
      </c>
      <c r="I27" s="7">
        <v>96.16</v>
      </c>
      <c r="J27" s="9">
        <v>93.32</v>
      </c>
      <c r="K27" s="5">
        <v>91.64</v>
      </c>
      <c r="L27" s="5">
        <v>89.94</v>
      </c>
      <c r="M27" s="5">
        <v>96.81</v>
      </c>
      <c r="N27" s="18">
        <v>8530</v>
      </c>
    </row>
    <row r="28" spans="2:14" ht="15" x14ac:dyDescent="0.25">
      <c r="B28" s="30">
        <v>42490</v>
      </c>
      <c r="C28" s="29">
        <f>(67.5+66.9)/2</f>
        <v>67.2</v>
      </c>
      <c r="D28" s="4">
        <v>40.75</v>
      </c>
      <c r="E28" s="34">
        <f t="shared" si="0"/>
        <v>2738.4</v>
      </c>
      <c r="F28" s="5">
        <v>93.24</v>
      </c>
      <c r="G28" s="5">
        <v>103.88</v>
      </c>
      <c r="H28" s="5">
        <v>92.17</v>
      </c>
      <c r="I28" s="7">
        <v>101.16</v>
      </c>
      <c r="J28" s="5">
        <v>99.17</v>
      </c>
      <c r="K28" s="5">
        <v>96.14</v>
      </c>
      <c r="L28" s="5">
        <v>94.44</v>
      </c>
      <c r="M28" s="5">
        <v>99.31</v>
      </c>
      <c r="N28" s="19">
        <v>9235</v>
      </c>
    </row>
    <row r="29" spans="2:14" ht="15" x14ac:dyDescent="0.25">
      <c r="B29" s="30">
        <v>42521</v>
      </c>
      <c r="C29" s="29">
        <f>(67.15+68.05)/2</f>
        <v>67.599999999999994</v>
      </c>
      <c r="D29" s="4">
        <v>45.94</v>
      </c>
      <c r="E29" s="34">
        <f t="shared" si="0"/>
        <v>3105.5439999999994</v>
      </c>
      <c r="F29" s="5">
        <v>90.24</v>
      </c>
      <c r="G29" s="5">
        <v>99.88</v>
      </c>
      <c r="H29" s="5">
        <v>90.17</v>
      </c>
      <c r="I29" s="7">
        <v>99.16</v>
      </c>
      <c r="J29" s="5">
        <v>95.17</v>
      </c>
      <c r="K29" s="5">
        <v>90.87</v>
      </c>
      <c r="L29" s="5">
        <v>91.44</v>
      </c>
      <c r="M29" s="5">
        <v>95.31</v>
      </c>
      <c r="N29" s="20">
        <v>8689</v>
      </c>
    </row>
    <row r="30" spans="2:14" ht="15" x14ac:dyDescent="0.25">
      <c r="B30" s="30">
        <v>42551</v>
      </c>
      <c r="C30" s="29">
        <f>(68.3+68.05)/2</f>
        <v>68.174999999999997</v>
      </c>
      <c r="D30" s="4">
        <v>47.69</v>
      </c>
      <c r="E30" s="34">
        <f t="shared" si="0"/>
        <v>3251.2657499999996</v>
      </c>
      <c r="F30" s="5">
        <v>88.28</v>
      </c>
      <c r="G30" s="5">
        <v>96.87</v>
      </c>
      <c r="H30" s="5">
        <v>89.21</v>
      </c>
      <c r="I30" s="7">
        <v>97.16</v>
      </c>
      <c r="J30" s="5">
        <v>95.68</v>
      </c>
      <c r="K30" s="6">
        <v>90.39</v>
      </c>
      <c r="L30" s="6">
        <v>90.06</v>
      </c>
      <c r="M30" s="5">
        <v>95.85</v>
      </c>
      <c r="N30" s="21">
        <v>8907.9500000000007</v>
      </c>
    </row>
    <row r="31" spans="2:14" ht="15" x14ac:dyDescent="0.25">
      <c r="B31" s="30">
        <v>42582</v>
      </c>
      <c r="C31" s="29">
        <v>68.180000000000007</v>
      </c>
      <c r="D31" s="4">
        <v>44.13</v>
      </c>
      <c r="E31" s="34">
        <f t="shared" si="0"/>
        <v>3008.7834000000003</v>
      </c>
      <c r="F31" s="5">
        <v>88.78</v>
      </c>
      <c r="G31" s="5">
        <v>100.89</v>
      </c>
      <c r="H31" s="5">
        <v>90.21</v>
      </c>
      <c r="I31" s="7">
        <v>98.72</v>
      </c>
      <c r="J31" s="5">
        <v>97.18</v>
      </c>
      <c r="K31" s="6">
        <v>93.7</v>
      </c>
      <c r="L31" s="6">
        <v>92.5</v>
      </c>
      <c r="M31" s="5">
        <v>97.35</v>
      </c>
      <c r="N31" s="22">
        <v>10245.950000000001</v>
      </c>
    </row>
    <row r="32" spans="2:14" ht="15" x14ac:dyDescent="0.25">
      <c r="B32" s="30">
        <v>42613</v>
      </c>
      <c r="C32" s="27">
        <v>67.75</v>
      </c>
      <c r="D32" s="5">
        <v>44.87</v>
      </c>
      <c r="E32" s="34">
        <f t="shared" si="0"/>
        <v>3039.9424999999997</v>
      </c>
      <c r="F32" s="5">
        <v>88.78</v>
      </c>
      <c r="G32" s="5">
        <v>102.39</v>
      </c>
      <c r="H32" s="5">
        <v>90.21</v>
      </c>
      <c r="I32" s="7">
        <v>98.72</v>
      </c>
      <c r="J32" s="5">
        <v>97.18</v>
      </c>
      <c r="K32" s="5">
        <v>91.39</v>
      </c>
      <c r="L32" s="6">
        <v>92.5</v>
      </c>
      <c r="M32" s="5">
        <v>99.35</v>
      </c>
      <c r="N32" s="23">
        <v>10347</v>
      </c>
    </row>
    <row r="33" spans="2:14" ht="15" x14ac:dyDescent="0.25">
      <c r="B33" s="30">
        <v>42643</v>
      </c>
      <c r="C33" s="27">
        <v>67.900000000000006</v>
      </c>
      <c r="D33" s="5">
        <v>45.04</v>
      </c>
      <c r="E33" s="34">
        <f t="shared" si="0"/>
        <v>3058.2160000000003</v>
      </c>
      <c r="F33" s="5">
        <v>89.18</v>
      </c>
      <c r="G33" s="5">
        <v>102.33</v>
      </c>
      <c r="H33" s="5">
        <v>90.76</v>
      </c>
      <c r="I33" s="5">
        <v>98.72</v>
      </c>
      <c r="J33" s="5">
        <v>97.91</v>
      </c>
      <c r="K33" s="5">
        <v>93.7</v>
      </c>
      <c r="L33" s="6">
        <v>92.5</v>
      </c>
      <c r="M33" s="5">
        <v>99.35</v>
      </c>
      <c r="N33" s="24">
        <v>10182.73</v>
      </c>
    </row>
    <row r="34" spans="2:14" ht="15" x14ac:dyDescent="0.25">
      <c r="B34" s="30">
        <v>42674</v>
      </c>
      <c r="C34" s="27">
        <v>67.53</v>
      </c>
      <c r="D34" s="5">
        <v>49.29</v>
      </c>
      <c r="E34" s="34">
        <f t="shared" si="0"/>
        <v>3328.5536999999999</v>
      </c>
      <c r="F34" s="5">
        <v>87.08</v>
      </c>
      <c r="G34" s="5">
        <v>103.29</v>
      </c>
      <c r="H34" s="5">
        <v>88.51</v>
      </c>
      <c r="I34" s="6">
        <v>96.6</v>
      </c>
      <c r="J34" s="5">
        <v>98.18</v>
      </c>
      <c r="K34" s="5">
        <v>92.59</v>
      </c>
      <c r="L34" s="6">
        <v>91.4</v>
      </c>
      <c r="M34" s="5">
        <v>100.31</v>
      </c>
      <c r="N34" s="23">
        <v>10258.1</v>
      </c>
    </row>
    <row r="35" spans="2:14" ht="15" x14ac:dyDescent="0.25">
      <c r="B35" s="30">
        <v>42704</v>
      </c>
      <c r="C35" s="27">
        <v>68.2</v>
      </c>
      <c r="D35" s="5">
        <v>45.26</v>
      </c>
      <c r="E35" s="34">
        <f t="shared" si="0"/>
        <v>3086.732</v>
      </c>
      <c r="F35" s="5">
        <v>85.64</v>
      </c>
      <c r="G35" s="5">
        <v>105.29</v>
      </c>
      <c r="H35" s="5">
        <v>87.07</v>
      </c>
      <c r="I35" s="6">
        <v>96.6</v>
      </c>
      <c r="J35" s="5">
        <v>98.18</v>
      </c>
      <c r="K35" s="5">
        <v>92.59</v>
      </c>
      <c r="L35" s="5">
        <v>91.4</v>
      </c>
      <c r="M35" s="5">
        <v>102.31</v>
      </c>
      <c r="N35" s="23">
        <v>11136</v>
      </c>
    </row>
    <row r="36" spans="2:14" ht="15" x14ac:dyDescent="0.25">
      <c r="B36" s="30">
        <v>42735</v>
      </c>
      <c r="C36" s="27">
        <v>69</v>
      </c>
      <c r="D36" s="5">
        <v>52.62</v>
      </c>
      <c r="E36" s="34">
        <f t="shared" si="0"/>
        <v>3630.7799999999997</v>
      </c>
      <c r="F36" s="5">
        <v>85.08</v>
      </c>
      <c r="G36" s="5">
        <v>105.29</v>
      </c>
      <c r="H36" s="5">
        <v>86.51</v>
      </c>
      <c r="I36" s="6">
        <v>94.6</v>
      </c>
      <c r="J36" s="5">
        <v>100.18</v>
      </c>
      <c r="K36" s="5">
        <v>91.59</v>
      </c>
      <c r="L36" s="5">
        <v>90.4</v>
      </c>
      <c r="M36" s="5">
        <v>102.31</v>
      </c>
      <c r="N36" s="23">
        <v>11006</v>
      </c>
    </row>
    <row r="37" spans="2:14" ht="15" x14ac:dyDescent="0.25">
      <c r="B37" s="30">
        <v>42766</v>
      </c>
      <c r="C37" s="28">
        <v>69.05</v>
      </c>
      <c r="D37" s="5">
        <v>53.59</v>
      </c>
      <c r="E37" s="34">
        <f t="shared" si="0"/>
        <v>3700.3895000000002</v>
      </c>
      <c r="F37" s="6">
        <v>86.1</v>
      </c>
      <c r="G37" s="5">
        <v>108.32</v>
      </c>
      <c r="H37" s="5">
        <v>87.53</v>
      </c>
      <c r="I37" s="5">
        <v>95.65</v>
      </c>
      <c r="J37" s="5">
        <v>103.18</v>
      </c>
      <c r="K37" s="5">
        <v>91.63</v>
      </c>
      <c r="L37" s="5">
        <v>90.42</v>
      </c>
      <c r="M37" s="5">
        <v>105.34</v>
      </c>
      <c r="N37" s="23">
        <v>9977.14</v>
      </c>
    </row>
    <row r="38" spans="2:14" ht="15" x14ac:dyDescent="0.25">
      <c r="B38" s="30">
        <v>42794</v>
      </c>
      <c r="C38" s="27">
        <v>68.125</v>
      </c>
      <c r="D38" s="5">
        <v>54.35</v>
      </c>
      <c r="E38" s="34">
        <f t="shared" si="0"/>
        <v>3702.59375</v>
      </c>
      <c r="F38" s="6">
        <v>87.1</v>
      </c>
      <c r="G38" s="5">
        <v>110.32</v>
      </c>
      <c r="H38" s="5">
        <v>88.53</v>
      </c>
      <c r="I38" s="5">
        <v>96.65</v>
      </c>
      <c r="J38" s="5">
        <v>105.18</v>
      </c>
      <c r="K38" s="5">
        <v>93.63</v>
      </c>
      <c r="L38" s="5">
        <v>92.42</v>
      </c>
      <c r="M38" s="5">
        <v>107.34</v>
      </c>
      <c r="N38" s="23">
        <v>10611.74</v>
      </c>
    </row>
    <row r="39" spans="2:14" ht="15" x14ac:dyDescent="0.25">
      <c r="B39" s="30">
        <v>42825</v>
      </c>
      <c r="C39" s="27">
        <v>67</v>
      </c>
      <c r="D39" s="6">
        <v>50.9</v>
      </c>
      <c r="E39" s="34">
        <f t="shared" si="0"/>
        <v>3410.2999999999997</v>
      </c>
      <c r="F39" s="6">
        <v>87.1</v>
      </c>
      <c r="G39" s="5">
        <v>113.32</v>
      </c>
      <c r="H39" s="5">
        <v>88.53</v>
      </c>
      <c r="I39" s="5">
        <v>96.65</v>
      </c>
      <c r="J39" s="5">
        <v>107.18</v>
      </c>
      <c r="K39" s="5">
        <v>94.63</v>
      </c>
      <c r="L39" s="5">
        <v>94.42</v>
      </c>
      <c r="M39" s="5">
        <v>109.34</v>
      </c>
      <c r="N39" s="23">
        <v>10220.870000000001</v>
      </c>
    </row>
    <row r="40" spans="2:14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</sheetData>
  <sortState ref="B6:C32">
    <sortCondition ref="B5"/>
  </sortState>
  <mergeCells count="2">
    <mergeCell ref="F2:H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9"/>
  <sheetViews>
    <sheetView tabSelected="1" workbookViewId="0">
      <selection activeCell="F34" sqref="F34"/>
    </sheetView>
  </sheetViews>
  <sheetFormatPr defaultRowHeight="12.75" x14ac:dyDescent="0.2"/>
  <cols>
    <col min="1" max="1" width="3.28515625" style="3" customWidth="1"/>
    <col min="2" max="2" width="7.42578125" style="10" bestFit="1" customWidth="1"/>
    <col min="3" max="3" width="6.140625" style="10" bestFit="1" customWidth="1"/>
    <col min="4" max="5" width="7.5703125" style="10" bestFit="1" customWidth="1"/>
    <col min="6" max="6" width="7" style="10" bestFit="1" customWidth="1"/>
    <col min="7" max="7" width="9.28515625" style="10" bestFit="1" customWidth="1"/>
    <col min="8" max="8" width="7.85546875" style="10" bestFit="1" customWidth="1"/>
    <col min="9" max="9" width="8.140625" style="10" bestFit="1" customWidth="1"/>
    <col min="10" max="10" width="7.85546875" style="10" bestFit="1" customWidth="1"/>
    <col min="11" max="11" width="11.42578125" style="10" bestFit="1" customWidth="1"/>
    <col min="12" max="12" width="7.85546875" style="10" bestFit="1" customWidth="1"/>
    <col min="13" max="13" width="10.140625" style="10" bestFit="1" customWidth="1"/>
    <col min="14" max="14" width="9.42578125" style="10" bestFit="1" customWidth="1"/>
    <col min="15" max="15" width="7.28515625" style="3" customWidth="1"/>
    <col min="16" max="16384" width="9.140625" style="3"/>
  </cols>
  <sheetData>
    <row r="2" spans="2:23" ht="15" x14ac:dyDescent="0.2">
      <c r="P2" s="45">
        <f>STDEV(P6:P36)</f>
        <v>0.55034595107341511</v>
      </c>
      <c r="Q2" s="45">
        <f t="shared" ref="Q2:W2" si="0">STDEV(Q6:Q36)</f>
        <v>0.61277912369464982</v>
      </c>
      <c r="R2" s="45">
        <f t="shared" si="0"/>
        <v>0.54086401061541789</v>
      </c>
      <c r="S2" s="45">
        <f t="shared" si="0"/>
        <v>0.60378767832383406</v>
      </c>
      <c r="T2" s="45">
        <f t="shared" si="0"/>
        <v>0.56855804148377753</v>
      </c>
      <c r="U2" s="45">
        <f t="shared" si="0"/>
        <v>0.55126882359641383</v>
      </c>
      <c r="V2" s="45">
        <f t="shared" si="0"/>
        <v>0.53806709435402922</v>
      </c>
      <c r="W2" s="45">
        <f t="shared" si="0"/>
        <v>0.5790342647886062</v>
      </c>
    </row>
    <row r="3" spans="2:23" x14ac:dyDescent="0.2">
      <c r="B3" s="2"/>
      <c r="C3" s="2"/>
      <c r="D3" s="2"/>
      <c r="E3" s="2"/>
      <c r="F3" s="46" t="s">
        <v>0</v>
      </c>
      <c r="G3" s="46"/>
      <c r="H3" s="46"/>
      <c r="I3" s="26" t="s">
        <v>1</v>
      </c>
      <c r="J3" s="26" t="s">
        <v>5</v>
      </c>
      <c r="K3" s="26" t="s">
        <v>4</v>
      </c>
      <c r="L3" s="46" t="s">
        <v>3</v>
      </c>
      <c r="M3" s="46"/>
      <c r="N3" s="26" t="s">
        <v>2</v>
      </c>
      <c r="P3" s="46" t="s">
        <v>0</v>
      </c>
      <c r="Q3" s="46"/>
      <c r="R3" s="46"/>
      <c r="S3" s="26" t="s">
        <v>1</v>
      </c>
      <c r="T3" s="26" t="s">
        <v>5</v>
      </c>
      <c r="U3" s="26" t="s">
        <v>4</v>
      </c>
      <c r="V3" s="46" t="s">
        <v>3</v>
      </c>
      <c r="W3" s="46"/>
    </row>
    <row r="4" spans="2:23" ht="45" x14ac:dyDescent="0.3">
      <c r="B4" s="35" t="s">
        <v>6</v>
      </c>
      <c r="C4" s="35" t="s">
        <v>8</v>
      </c>
      <c r="D4" s="36" t="s">
        <v>9</v>
      </c>
      <c r="E4" s="36" t="s">
        <v>7</v>
      </c>
      <c r="F4" s="37" t="s">
        <v>10</v>
      </c>
      <c r="G4" s="38" t="s">
        <v>11</v>
      </c>
      <c r="H4" s="39" t="s">
        <v>12</v>
      </c>
      <c r="I4" s="37" t="s">
        <v>13</v>
      </c>
      <c r="J4" s="40" t="s">
        <v>14</v>
      </c>
      <c r="K4" s="41" t="s">
        <v>15</v>
      </c>
      <c r="L4" s="42" t="s">
        <v>16</v>
      </c>
      <c r="M4" s="43" t="s">
        <v>17</v>
      </c>
      <c r="N4" s="41" t="s">
        <v>18</v>
      </c>
      <c r="P4" s="37" t="s">
        <v>10</v>
      </c>
      <c r="Q4" s="38" t="s">
        <v>11</v>
      </c>
      <c r="R4" s="39" t="s">
        <v>12</v>
      </c>
      <c r="S4" s="37" t="s">
        <v>13</v>
      </c>
      <c r="T4" s="40" t="s">
        <v>14</v>
      </c>
      <c r="U4" s="41" t="s">
        <v>15</v>
      </c>
      <c r="V4" s="42" t="s">
        <v>16</v>
      </c>
      <c r="W4" s="43" t="s">
        <v>17</v>
      </c>
    </row>
    <row r="5" spans="2:23" ht="15" x14ac:dyDescent="0.25">
      <c r="B5" s="30">
        <v>41882</v>
      </c>
      <c r="C5" s="29">
        <f>(61.85+61.25)/2</f>
        <v>61.55</v>
      </c>
      <c r="D5" s="4">
        <v>100.05</v>
      </c>
      <c r="E5" s="34">
        <f>D5*C5/100</f>
        <v>61.580774999999996</v>
      </c>
      <c r="F5" s="5">
        <v>113.93</v>
      </c>
      <c r="G5" s="5">
        <v>125.82</v>
      </c>
      <c r="H5" s="5">
        <v>113.86</v>
      </c>
      <c r="I5" s="6">
        <v>120.57</v>
      </c>
      <c r="J5" s="5">
        <v>120.62</v>
      </c>
      <c r="K5" s="5">
        <v>116.05</v>
      </c>
      <c r="L5" s="5">
        <v>116.85</v>
      </c>
      <c r="M5" s="5">
        <v>124.34</v>
      </c>
      <c r="N5" s="5"/>
      <c r="P5" s="44"/>
      <c r="Q5" s="44"/>
      <c r="R5" s="44"/>
      <c r="S5" s="44"/>
      <c r="T5" s="44"/>
      <c r="U5" s="44"/>
      <c r="V5" s="44"/>
      <c r="W5" s="44"/>
    </row>
    <row r="6" spans="2:23" ht="15" x14ac:dyDescent="0.25">
      <c r="B6" s="30">
        <v>41912</v>
      </c>
      <c r="C6" s="29">
        <f>(61+61.75)/2</f>
        <v>61.375</v>
      </c>
      <c r="D6" s="4">
        <v>95.85</v>
      </c>
      <c r="E6" s="34">
        <f t="shared" ref="E6:E36" si="1">D6*C6/100</f>
        <v>58.827937499999997</v>
      </c>
      <c r="F6" s="5">
        <v>114.03</v>
      </c>
      <c r="G6" s="5">
        <v>119.93</v>
      </c>
      <c r="H6" s="5">
        <v>113.06</v>
      </c>
      <c r="I6" s="6">
        <v>120.57</v>
      </c>
      <c r="J6" s="5">
        <v>120.62</v>
      </c>
      <c r="K6" s="5">
        <v>117.55</v>
      </c>
      <c r="L6" s="5">
        <v>116.85</v>
      </c>
      <c r="M6" s="5">
        <v>124.34</v>
      </c>
      <c r="N6" s="5"/>
      <c r="P6" s="44">
        <f>F6/$E5</f>
        <v>1.8517142728392102</v>
      </c>
      <c r="Q6" s="44">
        <f t="shared" ref="Q6:W6" si="2">G6/$E5</f>
        <v>1.9475233950855606</v>
      </c>
      <c r="R6" s="44">
        <f t="shared" si="2"/>
        <v>1.835962603588539</v>
      </c>
      <c r="S6" s="44">
        <f t="shared" si="2"/>
        <v>1.9579162490241475</v>
      </c>
      <c r="T6" s="44">
        <f t="shared" si="2"/>
        <v>1.9587281907380998</v>
      </c>
      <c r="U6" s="44">
        <f t="shared" si="2"/>
        <v>1.9088749695014395</v>
      </c>
      <c r="V6" s="44">
        <f t="shared" si="2"/>
        <v>1.8975077855061098</v>
      </c>
      <c r="W6" s="44">
        <f t="shared" si="2"/>
        <v>2.0191366542561378</v>
      </c>
    </row>
    <row r="7" spans="2:23" ht="15" x14ac:dyDescent="0.25">
      <c r="B7" s="30">
        <v>41943</v>
      </c>
      <c r="C7" s="29">
        <f>(62.3+62.05)/2</f>
        <v>62.174999999999997</v>
      </c>
      <c r="D7" s="4">
        <v>86.08</v>
      </c>
      <c r="E7" s="34">
        <f t="shared" si="1"/>
        <v>53.520239999999994</v>
      </c>
      <c r="F7" s="5">
        <v>114.03</v>
      </c>
      <c r="G7" s="5">
        <v>121.93</v>
      </c>
      <c r="H7" s="5">
        <v>113.96</v>
      </c>
      <c r="I7" s="6">
        <v>116.67</v>
      </c>
      <c r="J7" s="5">
        <v>113.77</v>
      </c>
      <c r="K7" s="5">
        <v>111.65</v>
      </c>
      <c r="L7" s="5">
        <v>110.95</v>
      </c>
      <c r="M7" s="5">
        <v>117.45</v>
      </c>
      <c r="N7" s="5"/>
      <c r="P7" s="44">
        <f t="shared" ref="P7:P36" si="3">F7/$E6</f>
        <v>1.9383647437920122</v>
      </c>
      <c r="Q7" s="44">
        <f t="shared" ref="Q7:Q36" si="4">G7/$E6</f>
        <v>2.0726546804398849</v>
      </c>
      <c r="R7" s="44">
        <f t="shared" ref="R7:R36" si="5">H7/$E6</f>
        <v>1.9371748329609551</v>
      </c>
      <c r="S7" s="44">
        <f t="shared" ref="S7:S36" si="6">I7/$E6</f>
        <v>1.9832413808490228</v>
      </c>
      <c r="T7" s="44">
        <f t="shared" ref="T7:T36" si="7">J7/$E6</f>
        <v>1.9339450749909428</v>
      </c>
      <c r="U7" s="44">
        <f t="shared" ref="U7:U36" si="8">K7/$E6</f>
        <v>1.8979077755360709</v>
      </c>
      <c r="V7" s="44">
        <f t="shared" ref="V7:V36" si="9">L7/$E6</f>
        <v>1.8860086672254999</v>
      </c>
      <c r="W7" s="44">
        <f t="shared" ref="W7:W36" si="10">M7/$E6</f>
        <v>1.9965003872522304</v>
      </c>
    </row>
    <row r="8" spans="2:23" ht="15" x14ac:dyDescent="0.25">
      <c r="B8" s="30">
        <v>41973</v>
      </c>
      <c r="C8" s="29">
        <f>(61.9+62.6)/2</f>
        <v>62.25</v>
      </c>
      <c r="D8" s="4">
        <v>76.989999999999995</v>
      </c>
      <c r="E8" s="34">
        <f t="shared" si="1"/>
        <v>47.926274999999997</v>
      </c>
      <c r="F8" s="5">
        <v>106.03</v>
      </c>
      <c r="G8" s="5">
        <v>107.93</v>
      </c>
      <c r="H8" s="5">
        <v>105.96</v>
      </c>
      <c r="I8" s="7">
        <v>112.67</v>
      </c>
      <c r="J8" s="5">
        <v>107.77</v>
      </c>
      <c r="K8" s="5">
        <v>107.65</v>
      </c>
      <c r="L8" s="5">
        <v>106.95</v>
      </c>
      <c r="M8" s="5">
        <v>111.45</v>
      </c>
      <c r="N8" s="5"/>
      <c r="P8" s="44">
        <f t="shared" si="3"/>
        <v>1.9811196661300474</v>
      </c>
      <c r="Q8" s="44">
        <f t="shared" si="4"/>
        <v>2.0166202543187404</v>
      </c>
      <c r="R8" s="44">
        <f t="shared" si="5"/>
        <v>1.9798117497230956</v>
      </c>
      <c r="S8" s="44">
        <f t="shared" si="6"/>
        <v>2.105184879589479</v>
      </c>
      <c r="T8" s="44">
        <f t="shared" si="7"/>
        <v>2.0136307311028503</v>
      </c>
      <c r="U8" s="44">
        <f t="shared" si="8"/>
        <v>2.0113885886909331</v>
      </c>
      <c r="V8" s="44">
        <f t="shared" si="9"/>
        <v>1.9983094246214146</v>
      </c>
      <c r="W8" s="44">
        <f t="shared" si="10"/>
        <v>2.0823897650683185</v>
      </c>
    </row>
    <row r="9" spans="2:23" ht="15" x14ac:dyDescent="0.25">
      <c r="B9" s="30">
        <v>42004</v>
      </c>
      <c r="C9" s="29">
        <f>(62.5+63.85)/2</f>
        <v>63.174999999999997</v>
      </c>
      <c r="D9" s="25">
        <v>60.7</v>
      </c>
      <c r="E9" s="34">
        <f t="shared" si="1"/>
        <v>38.347225000000002</v>
      </c>
      <c r="F9" s="5">
        <v>103.02</v>
      </c>
      <c r="G9" s="6">
        <v>103.9</v>
      </c>
      <c r="H9" s="5">
        <v>102.95</v>
      </c>
      <c r="I9" s="7">
        <v>109.16</v>
      </c>
      <c r="J9" s="5">
        <v>102.74</v>
      </c>
      <c r="K9" s="5">
        <v>103.64</v>
      </c>
      <c r="L9" s="5">
        <v>102.94</v>
      </c>
      <c r="M9" s="5">
        <v>106.42</v>
      </c>
      <c r="N9" s="5"/>
      <c r="P9" s="44">
        <f t="shared" si="3"/>
        <v>2.1495515768751066</v>
      </c>
      <c r="Q9" s="44">
        <f t="shared" si="4"/>
        <v>2.1679131123793787</v>
      </c>
      <c r="R9" s="44">
        <f t="shared" si="5"/>
        <v>2.1480910001872671</v>
      </c>
      <c r="S9" s="44">
        <f t="shared" si="6"/>
        <v>2.2776650177799129</v>
      </c>
      <c r="T9" s="44">
        <f t="shared" si="7"/>
        <v>2.1437092701237472</v>
      </c>
      <c r="U9" s="44">
        <f t="shared" si="8"/>
        <v>2.1624881132531164</v>
      </c>
      <c r="V9" s="44">
        <f t="shared" si="9"/>
        <v>2.1478823463747183</v>
      </c>
      <c r="W9" s="44">
        <f t="shared" si="10"/>
        <v>2.2204938731416122</v>
      </c>
    </row>
    <row r="10" spans="2:23" ht="15" x14ac:dyDescent="0.25">
      <c r="B10" s="30">
        <v>42035</v>
      </c>
      <c r="C10" s="29">
        <f>(63.8+62.3+62.3)/3</f>
        <v>62.79999999999999</v>
      </c>
      <c r="D10" s="4">
        <v>47.11</v>
      </c>
      <c r="E10" s="34">
        <f t="shared" si="1"/>
        <v>29.585079999999994</v>
      </c>
      <c r="F10" s="5">
        <v>87.01</v>
      </c>
      <c r="G10" s="5">
        <v>93.89</v>
      </c>
      <c r="H10" s="5">
        <v>86.94</v>
      </c>
      <c r="I10" s="7">
        <v>99.15</v>
      </c>
      <c r="J10" s="5">
        <v>93.73</v>
      </c>
      <c r="K10" s="5">
        <v>91.63</v>
      </c>
      <c r="L10" s="5">
        <v>90.93</v>
      </c>
      <c r="M10" s="5">
        <v>97.41</v>
      </c>
      <c r="N10" s="5"/>
      <c r="P10" s="44">
        <f t="shared" si="3"/>
        <v>2.2690038197027294</v>
      </c>
      <c r="Q10" s="44">
        <f t="shared" si="4"/>
        <v>2.448417062773121</v>
      </c>
      <c r="R10" s="44">
        <f t="shared" si="5"/>
        <v>2.267178394264513</v>
      </c>
      <c r="S10" s="44">
        <f t="shared" si="6"/>
        <v>2.5855847457019379</v>
      </c>
      <c r="T10" s="44">
        <f t="shared" si="7"/>
        <v>2.4442446617714841</v>
      </c>
      <c r="U10" s="44">
        <f t="shared" si="8"/>
        <v>2.3894818986249979</v>
      </c>
      <c r="V10" s="44">
        <f t="shared" si="9"/>
        <v>2.3712276442428366</v>
      </c>
      <c r="W10" s="44">
        <f t="shared" si="10"/>
        <v>2.5402098848091352</v>
      </c>
    </row>
    <row r="11" spans="2:23" ht="15" x14ac:dyDescent="0.25">
      <c r="B11" s="30">
        <v>42063</v>
      </c>
      <c r="C11" s="29">
        <f>(62.45+62.8)/2</f>
        <v>62.625</v>
      </c>
      <c r="D11" s="4">
        <v>54.79</v>
      </c>
      <c r="E11" s="34">
        <f t="shared" si="1"/>
        <v>34.312237500000002</v>
      </c>
      <c r="F11" s="5">
        <v>85.01</v>
      </c>
      <c r="G11" s="5">
        <v>93.89</v>
      </c>
      <c r="H11" s="5">
        <v>83.94</v>
      </c>
      <c r="I11" s="7">
        <v>89.15</v>
      </c>
      <c r="J11" s="5">
        <v>91.73</v>
      </c>
      <c r="K11" s="5">
        <v>81.63</v>
      </c>
      <c r="L11" s="5">
        <v>79.930000000000007</v>
      </c>
      <c r="M11" s="5">
        <v>95.41</v>
      </c>
      <c r="N11" s="5"/>
      <c r="P11" s="44">
        <f t="shared" si="3"/>
        <v>2.8734078123162088</v>
      </c>
      <c r="Q11" s="44">
        <f t="shared" si="4"/>
        <v>3.1735591047920106</v>
      </c>
      <c r="R11" s="44">
        <f t="shared" si="5"/>
        <v>2.8372409336057234</v>
      </c>
      <c r="S11" s="44">
        <f t="shared" si="6"/>
        <v>3.0133432121866841</v>
      </c>
      <c r="T11" s="44">
        <f t="shared" si="7"/>
        <v>3.1005493309465453</v>
      </c>
      <c r="U11" s="44">
        <f t="shared" si="8"/>
        <v>2.7591610365765451</v>
      </c>
      <c r="V11" s="44">
        <f t="shared" si="9"/>
        <v>2.7016996404944664</v>
      </c>
      <c r="W11" s="44">
        <f t="shared" si="10"/>
        <v>3.2249363530536344</v>
      </c>
    </row>
    <row r="12" spans="2:23" ht="15" x14ac:dyDescent="0.25">
      <c r="B12" s="30">
        <v>42094</v>
      </c>
      <c r="C12" s="29">
        <f>(62.8+63)/2</f>
        <v>62.9</v>
      </c>
      <c r="D12" s="4">
        <v>52.83</v>
      </c>
      <c r="E12" s="34">
        <f t="shared" si="1"/>
        <v>33.230069999999998</v>
      </c>
      <c r="F12" s="5">
        <v>92.01</v>
      </c>
      <c r="G12" s="5">
        <v>100.89</v>
      </c>
      <c r="H12" s="5">
        <v>90.94</v>
      </c>
      <c r="I12" s="1">
        <v>96.52</v>
      </c>
      <c r="J12" s="5">
        <v>98.73</v>
      </c>
      <c r="K12" s="5">
        <v>88.63</v>
      </c>
      <c r="L12" s="5">
        <v>86.93</v>
      </c>
      <c r="M12" s="5">
        <v>102.41</v>
      </c>
      <c r="N12" s="5"/>
      <c r="P12" s="44">
        <f t="shared" si="3"/>
        <v>2.6815505692393273</v>
      </c>
      <c r="Q12" s="44">
        <f t="shared" si="4"/>
        <v>2.9403503633361128</v>
      </c>
      <c r="R12" s="44">
        <f t="shared" si="5"/>
        <v>2.6503663598155027</v>
      </c>
      <c r="S12" s="44">
        <f t="shared" si="6"/>
        <v>2.8129905547546992</v>
      </c>
      <c r="T12" s="44">
        <f t="shared" si="7"/>
        <v>2.8773990620693271</v>
      </c>
      <c r="U12" s="44">
        <f t="shared" si="8"/>
        <v>2.5830434404051905</v>
      </c>
      <c r="V12" s="44">
        <f t="shared" si="9"/>
        <v>2.5334984347785539</v>
      </c>
      <c r="W12" s="44">
        <f t="shared" si="10"/>
        <v>2.9846494271905173</v>
      </c>
    </row>
    <row r="13" spans="2:23" ht="15" x14ac:dyDescent="0.25">
      <c r="B13" s="30">
        <v>42124</v>
      </c>
      <c r="C13" s="29">
        <f>(63.2+62.95)/2</f>
        <v>63.075000000000003</v>
      </c>
      <c r="D13" s="4">
        <v>57.54</v>
      </c>
      <c r="E13" s="34">
        <f t="shared" si="1"/>
        <v>36.293354999999998</v>
      </c>
      <c r="F13" s="5">
        <v>97.61</v>
      </c>
      <c r="G13" s="5">
        <v>103.89</v>
      </c>
      <c r="H13" s="5">
        <v>96.54</v>
      </c>
      <c r="I13" s="1">
        <v>102.22</v>
      </c>
      <c r="J13" s="5">
        <v>101.73</v>
      </c>
      <c r="K13" s="5">
        <v>97.13</v>
      </c>
      <c r="L13" s="5">
        <v>95.43</v>
      </c>
      <c r="M13" s="5">
        <v>105.41</v>
      </c>
      <c r="N13" s="5"/>
      <c r="P13" s="44">
        <f t="shared" si="3"/>
        <v>2.9373997707498058</v>
      </c>
      <c r="Q13" s="44">
        <f t="shared" si="4"/>
        <v>3.1263852288003009</v>
      </c>
      <c r="R13" s="44">
        <f t="shared" si="5"/>
        <v>2.9052000191392922</v>
      </c>
      <c r="S13" s="44">
        <f t="shared" si="6"/>
        <v>3.0761295417072549</v>
      </c>
      <c r="T13" s="44">
        <f t="shared" si="7"/>
        <v>3.061383861063188</v>
      </c>
      <c r="U13" s="44">
        <f t="shared" si="8"/>
        <v>2.922955022363781</v>
      </c>
      <c r="V13" s="44">
        <f t="shared" si="9"/>
        <v>2.8717965384966089</v>
      </c>
      <c r="W13" s="44">
        <f t="shared" si="10"/>
        <v>3.1721269320227132</v>
      </c>
    </row>
    <row r="14" spans="2:23" ht="15" x14ac:dyDescent="0.25">
      <c r="B14" s="30">
        <v>42155</v>
      </c>
      <c r="C14" s="29">
        <f>(62.95+64.35+64.3)/3</f>
        <v>63.866666666666667</v>
      </c>
      <c r="D14" s="4">
        <v>62.51</v>
      </c>
      <c r="E14" s="34">
        <f t="shared" si="1"/>
        <v>39.923053333333336</v>
      </c>
      <c r="F14" s="5">
        <v>105.61</v>
      </c>
      <c r="G14" s="5">
        <v>120.89</v>
      </c>
      <c r="H14" s="5">
        <v>103.54</v>
      </c>
      <c r="I14" s="1">
        <v>109.64</v>
      </c>
      <c r="J14" s="5">
        <v>111.73</v>
      </c>
      <c r="K14" s="5">
        <v>106.13</v>
      </c>
      <c r="L14" s="5">
        <v>104.43</v>
      </c>
      <c r="M14" s="5">
        <v>115.41</v>
      </c>
      <c r="N14" s="5"/>
      <c r="P14" s="44">
        <f t="shared" si="3"/>
        <v>2.909899071055845</v>
      </c>
      <c r="Q14" s="44">
        <f t="shared" si="4"/>
        <v>3.3309127800392111</v>
      </c>
      <c r="R14" s="44">
        <f t="shared" si="5"/>
        <v>2.8528638369200094</v>
      </c>
      <c r="S14" s="44">
        <f t="shared" si="6"/>
        <v>3.0209386814748873</v>
      </c>
      <c r="T14" s="44">
        <f t="shared" si="7"/>
        <v>3.0785249806748372</v>
      </c>
      <c r="U14" s="44">
        <f t="shared" si="8"/>
        <v>2.9242267627228182</v>
      </c>
      <c r="V14" s="44">
        <f t="shared" si="9"/>
        <v>2.8773862322730981</v>
      </c>
      <c r="W14" s="44">
        <f t="shared" si="10"/>
        <v>3.1799209524718783</v>
      </c>
    </row>
    <row r="15" spans="2:23" ht="15" x14ac:dyDescent="0.25">
      <c r="B15" s="30">
        <v>42185</v>
      </c>
      <c r="C15" s="29">
        <f>(64.75+64.55)/2</f>
        <v>64.650000000000006</v>
      </c>
      <c r="D15" s="4">
        <v>61.31</v>
      </c>
      <c r="E15" s="34">
        <f t="shared" si="1"/>
        <v>39.636915000000002</v>
      </c>
      <c r="F15" s="5">
        <v>104.64</v>
      </c>
      <c r="G15" s="5">
        <v>120.91</v>
      </c>
      <c r="H15" s="5">
        <v>102.57</v>
      </c>
      <c r="I15" s="1">
        <v>106.68</v>
      </c>
      <c r="J15" s="5">
        <v>111.74</v>
      </c>
      <c r="K15" s="5">
        <v>104.16</v>
      </c>
      <c r="L15" s="5">
        <v>102.46</v>
      </c>
      <c r="M15" s="5">
        <v>113.43</v>
      </c>
      <c r="N15" s="5"/>
      <c r="P15" s="44">
        <f t="shared" si="3"/>
        <v>2.6210420111487798</v>
      </c>
      <c r="Q15" s="44">
        <f t="shared" si="4"/>
        <v>3.028575970642192</v>
      </c>
      <c r="R15" s="44">
        <f t="shared" si="5"/>
        <v>2.5691922695291507</v>
      </c>
      <c r="S15" s="44">
        <f t="shared" si="6"/>
        <v>2.6721403072376897</v>
      </c>
      <c r="T15" s="44">
        <f t="shared" si="7"/>
        <v>2.7988841200856713</v>
      </c>
      <c r="U15" s="44">
        <f t="shared" si="8"/>
        <v>2.6090188826572716</v>
      </c>
      <c r="V15" s="44">
        <f t="shared" si="9"/>
        <v>2.5664369692498465</v>
      </c>
      <c r="W15" s="44">
        <f t="shared" si="10"/>
        <v>2.841215551649523</v>
      </c>
    </row>
    <row r="16" spans="2:23" ht="15" x14ac:dyDescent="0.25">
      <c r="B16" s="30">
        <v>42216</v>
      </c>
      <c r="C16" s="29">
        <f>(64.25+64.1)/2</f>
        <v>64.174999999999997</v>
      </c>
      <c r="D16" s="4">
        <v>54.34</v>
      </c>
      <c r="E16" s="34">
        <f t="shared" si="1"/>
        <v>34.872695</v>
      </c>
      <c r="F16" s="5">
        <v>99.64</v>
      </c>
      <c r="G16" s="5">
        <v>109.91</v>
      </c>
      <c r="H16" s="5">
        <v>97.57</v>
      </c>
      <c r="I16" s="1">
        <v>105.68</v>
      </c>
      <c r="J16" s="5">
        <v>106.74</v>
      </c>
      <c r="K16" s="5">
        <v>99.16</v>
      </c>
      <c r="L16" s="5">
        <v>97.46</v>
      </c>
      <c r="M16" s="5">
        <v>108.43</v>
      </c>
      <c r="N16" s="5"/>
      <c r="P16" s="44">
        <f t="shared" si="3"/>
        <v>2.5138182424136692</v>
      </c>
      <c r="Q16" s="44">
        <f t="shared" si="4"/>
        <v>2.7729201427507664</v>
      </c>
      <c r="R16" s="44">
        <f t="shared" si="5"/>
        <v>2.4615941982366687</v>
      </c>
      <c r="S16" s="44">
        <f t="shared" si="6"/>
        <v>2.6662014437803752</v>
      </c>
      <c r="T16" s="44">
        <f t="shared" si="7"/>
        <v>2.6929441910400946</v>
      </c>
      <c r="U16" s="44">
        <f t="shared" si="8"/>
        <v>2.5017083191262488</v>
      </c>
      <c r="V16" s="44">
        <f t="shared" si="9"/>
        <v>2.4588190074833016</v>
      </c>
      <c r="W16" s="44">
        <f t="shared" si="10"/>
        <v>2.7355812126145538</v>
      </c>
    </row>
    <row r="17" spans="2:23" ht="15" x14ac:dyDescent="0.25">
      <c r="B17" s="30">
        <v>42247</v>
      </c>
      <c r="C17" s="29">
        <f>(64.35+65.75+65.75)/3</f>
        <v>65.283333333333331</v>
      </c>
      <c r="D17" s="4">
        <v>45.69</v>
      </c>
      <c r="E17" s="34">
        <f t="shared" si="1"/>
        <v>29.827954999999996</v>
      </c>
      <c r="F17" s="5">
        <v>96.63</v>
      </c>
      <c r="G17" s="5">
        <v>105.81</v>
      </c>
      <c r="H17" s="5">
        <v>95.03</v>
      </c>
      <c r="I17" s="7">
        <v>102.66</v>
      </c>
      <c r="J17" s="5">
        <v>99.69</v>
      </c>
      <c r="K17" s="5">
        <v>95.15</v>
      </c>
      <c r="L17" s="5">
        <v>93.45</v>
      </c>
      <c r="M17" s="5">
        <v>101.33</v>
      </c>
      <c r="N17" s="5"/>
      <c r="P17" s="44">
        <f t="shared" si="3"/>
        <v>2.7709358281601117</v>
      </c>
      <c r="Q17" s="44">
        <f t="shared" si="4"/>
        <v>3.0341790331948824</v>
      </c>
      <c r="R17" s="44">
        <f t="shared" si="5"/>
        <v>2.725054659526601</v>
      </c>
      <c r="S17" s="44">
        <f t="shared" si="6"/>
        <v>2.9438504824476568</v>
      </c>
      <c r="T17" s="44">
        <f t="shared" si="7"/>
        <v>2.8586835631717018</v>
      </c>
      <c r="U17" s="44">
        <f t="shared" si="8"/>
        <v>2.7284957471741142</v>
      </c>
      <c r="V17" s="44">
        <f t="shared" si="9"/>
        <v>2.6797470055010089</v>
      </c>
      <c r="W17" s="44">
        <f t="shared" si="10"/>
        <v>2.9057117610210508</v>
      </c>
    </row>
    <row r="18" spans="2:23" ht="15" x14ac:dyDescent="0.25">
      <c r="B18" s="30">
        <v>42277</v>
      </c>
      <c r="C18" s="29">
        <f>(66.85+67.05)/2</f>
        <v>66.949999999999989</v>
      </c>
      <c r="D18" s="4">
        <v>46.28</v>
      </c>
      <c r="E18" s="34">
        <f t="shared" si="1"/>
        <v>30.984459999999995</v>
      </c>
      <c r="F18" s="5">
        <v>89.12</v>
      </c>
      <c r="G18" s="5">
        <v>95.76</v>
      </c>
      <c r="H18" s="5">
        <v>88.52</v>
      </c>
      <c r="I18" s="7">
        <v>96.15</v>
      </c>
      <c r="J18" s="5">
        <v>91.66</v>
      </c>
      <c r="K18" s="5">
        <v>88.63</v>
      </c>
      <c r="L18" s="5">
        <v>86.94</v>
      </c>
      <c r="M18" s="5">
        <v>93.28</v>
      </c>
      <c r="N18" s="5"/>
      <c r="P18" s="44">
        <f t="shared" si="3"/>
        <v>2.9878012086312995</v>
      </c>
      <c r="Q18" s="44">
        <f t="shared" si="4"/>
        <v>3.2104111730086764</v>
      </c>
      <c r="R18" s="44">
        <f t="shared" si="5"/>
        <v>2.9676858504044281</v>
      </c>
      <c r="S18" s="44">
        <f t="shared" si="6"/>
        <v>3.223486155856143</v>
      </c>
      <c r="T18" s="44">
        <f t="shared" si="7"/>
        <v>3.0729562251250551</v>
      </c>
      <c r="U18" s="44">
        <f t="shared" si="8"/>
        <v>2.9713736660793542</v>
      </c>
      <c r="V18" s="44">
        <f t="shared" si="9"/>
        <v>2.9147154070736665</v>
      </c>
      <c r="W18" s="44">
        <f t="shared" si="10"/>
        <v>3.1272676923376079</v>
      </c>
    </row>
    <row r="19" spans="2:23" ht="15" x14ac:dyDescent="0.25">
      <c r="B19" s="30">
        <v>42308</v>
      </c>
      <c r="C19" s="29">
        <f>(66.15+65.35)/2</f>
        <v>65.75</v>
      </c>
      <c r="D19" s="4">
        <v>46.96</v>
      </c>
      <c r="E19" s="34">
        <f t="shared" si="1"/>
        <v>30.876199999999997</v>
      </c>
      <c r="F19" s="5">
        <v>91.12</v>
      </c>
      <c r="G19" s="5">
        <v>98.76</v>
      </c>
      <c r="H19" s="5">
        <v>90.52</v>
      </c>
      <c r="I19" s="7">
        <v>98.15</v>
      </c>
      <c r="J19" s="5">
        <v>94.66</v>
      </c>
      <c r="K19" s="5">
        <v>90.63</v>
      </c>
      <c r="L19" s="5">
        <v>88.94</v>
      </c>
      <c r="M19" s="5">
        <v>97.28</v>
      </c>
      <c r="N19" s="13">
        <v>9892.5</v>
      </c>
      <c r="P19" s="44">
        <f t="shared" si="3"/>
        <v>2.94082904785173</v>
      </c>
      <c r="Q19" s="44">
        <f t="shared" si="4"/>
        <v>3.1874042665258657</v>
      </c>
      <c r="R19" s="44">
        <f t="shared" si="5"/>
        <v>2.9214645018825571</v>
      </c>
      <c r="S19" s="44">
        <f t="shared" si="6"/>
        <v>3.167716978123873</v>
      </c>
      <c r="T19" s="44">
        <f t="shared" si="7"/>
        <v>3.0550798690698504</v>
      </c>
      <c r="U19" s="44">
        <f t="shared" si="8"/>
        <v>2.9250146686435721</v>
      </c>
      <c r="V19" s="44">
        <f t="shared" si="9"/>
        <v>2.8704711974970682</v>
      </c>
      <c r="W19" s="44">
        <f t="shared" si="10"/>
        <v>3.1396383864685724</v>
      </c>
    </row>
    <row r="20" spans="2:23" ht="15" x14ac:dyDescent="0.25">
      <c r="B20" s="30">
        <v>42338</v>
      </c>
      <c r="C20" s="29">
        <f>(66.2+66.7)/2</f>
        <v>66.45</v>
      </c>
      <c r="D20" s="4">
        <v>43.11</v>
      </c>
      <c r="E20" s="34">
        <f t="shared" si="1"/>
        <v>28.646595000000001</v>
      </c>
      <c r="F20" s="5">
        <v>89.11</v>
      </c>
      <c r="G20" s="5">
        <v>95.75</v>
      </c>
      <c r="H20" s="5">
        <v>87.04</v>
      </c>
      <c r="I20" s="7">
        <v>96.15</v>
      </c>
      <c r="J20" s="5">
        <v>89.67</v>
      </c>
      <c r="K20" s="5">
        <v>85.63</v>
      </c>
      <c r="L20" s="5">
        <v>83.93</v>
      </c>
      <c r="M20" s="6">
        <v>92.3</v>
      </c>
      <c r="N20" s="14">
        <v>10338.4</v>
      </c>
      <c r="P20" s="44">
        <f t="shared" si="3"/>
        <v>2.8860416761129932</v>
      </c>
      <c r="Q20" s="44">
        <f t="shared" si="4"/>
        <v>3.1010940465471788</v>
      </c>
      <c r="R20" s="44">
        <f t="shared" si="5"/>
        <v>2.81899974737824</v>
      </c>
      <c r="S20" s="44">
        <f t="shared" si="6"/>
        <v>3.1140490086215276</v>
      </c>
      <c r="T20" s="44">
        <f t="shared" si="7"/>
        <v>2.9041786230170814</v>
      </c>
      <c r="U20" s="44">
        <f t="shared" si="8"/>
        <v>2.773333506066161</v>
      </c>
      <c r="V20" s="44">
        <f t="shared" si="9"/>
        <v>2.7182749172501803</v>
      </c>
      <c r="W20" s="44">
        <f t="shared" si="10"/>
        <v>2.9893574986559228</v>
      </c>
    </row>
    <row r="21" spans="2:23" ht="15" x14ac:dyDescent="0.25">
      <c r="B21" s="30">
        <v>42369</v>
      </c>
      <c r="C21" s="29">
        <f>(67.25+67.2)/2</f>
        <v>67.224999999999994</v>
      </c>
      <c r="D21" s="4">
        <v>36.57</v>
      </c>
      <c r="E21" s="34">
        <f t="shared" si="1"/>
        <v>24.584182499999997</v>
      </c>
      <c r="F21" s="5">
        <v>85.26</v>
      </c>
      <c r="G21" s="5">
        <v>90.88</v>
      </c>
      <c r="H21" s="5">
        <v>82.39</v>
      </c>
      <c r="I21" s="7">
        <v>91.15</v>
      </c>
      <c r="J21" s="5">
        <v>87.67</v>
      </c>
      <c r="K21" s="5">
        <v>84.13</v>
      </c>
      <c r="L21" s="5">
        <v>82.43</v>
      </c>
      <c r="M21" s="5">
        <v>90.31</v>
      </c>
      <c r="N21" s="15">
        <v>9225</v>
      </c>
      <c r="P21" s="44">
        <f t="shared" si="3"/>
        <v>2.976269954596698</v>
      </c>
      <c r="Q21" s="44">
        <f t="shared" si="4"/>
        <v>3.1724538291549131</v>
      </c>
      <c r="R21" s="44">
        <f t="shared" si="5"/>
        <v>2.8760835275536238</v>
      </c>
      <c r="S21" s="44">
        <f t="shared" si="6"/>
        <v>3.181879033092764</v>
      </c>
      <c r="T21" s="44">
        <f t="shared" si="7"/>
        <v>3.0603986267826944</v>
      </c>
      <c r="U21" s="44">
        <f t="shared" si="8"/>
        <v>2.936823730708658</v>
      </c>
      <c r="V21" s="44">
        <f t="shared" si="9"/>
        <v>2.8774798540629352</v>
      </c>
      <c r="W21" s="44">
        <f t="shared" si="10"/>
        <v>3.1525561763972298</v>
      </c>
    </row>
    <row r="22" spans="2:23" ht="15" x14ac:dyDescent="0.25">
      <c r="B22" s="30">
        <v>42400</v>
      </c>
      <c r="C22" s="29">
        <f>(67.45+68.4)/2</f>
        <v>67.925000000000011</v>
      </c>
      <c r="D22" s="4">
        <v>29.78</v>
      </c>
      <c r="E22" s="34">
        <f t="shared" si="1"/>
        <v>20.228065000000004</v>
      </c>
      <c r="F22" s="5">
        <v>83.11</v>
      </c>
      <c r="G22" s="5">
        <v>88.79</v>
      </c>
      <c r="H22" s="5">
        <v>81.69</v>
      </c>
      <c r="I22" s="7">
        <v>85.42</v>
      </c>
      <c r="J22" s="8">
        <v>84.82</v>
      </c>
      <c r="K22" s="5">
        <v>82.13</v>
      </c>
      <c r="L22" s="5">
        <v>80.430000000000007</v>
      </c>
      <c r="M22" s="5">
        <v>88.31</v>
      </c>
      <c r="N22" s="16">
        <v>8685.24</v>
      </c>
      <c r="P22" s="44">
        <f t="shared" si="3"/>
        <v>3.3806289877647959</v>
      </c>
      <c r="Q22" s="44">
        <f t="shared" si="4"/>
        <v>3.6116718544535704</v>
      </c>
      <c r="R22" s="44">
        <f t="shared" si="5"/>
        <v>3.3228682710926023</v>
      </c>
      <c r="S22" s="44">
        <f t="shared" si="6"/>
        <v>3.4745918437597023</v>
      </c>
      <c r="T22" s="44">
        <f t="shared" si="7"/>
        <v>3.4501859071376484</v>
      </c>
      <c r="U22" s="44">
        <f t="shared" si="8"/>
        <v>3.3407659579487747</v>
      </c>
      <c r="V22" s="44">
        <f t="shared" si="9"/>
        <v>3.2716158041862902</v>
      </c>
      <c r="W22" s="44">
        <f t="shared" si="10"/>
        <v>3.5921471051559273</v>
      </c>
    </row>
    <row r="23" spans="2:23" ht="15" x14ac:dyDescent="0.25">
      <c r="B23" s="30">
        <v>42429</v>
      </c>
      <c r="C23" s="29">
        <f>(68.45+68.95)/2</f>
        <v>68.7</v>
      </c>
      <c r="D23" s="4">
        <v>31.03</v>
      </c>
      <c r="E23" s="34">
        <f t="shared" si="1"/>
        <v>21.317609999999998</v>
      </c>
      <c r="F23" s="5">
        <v>84.62</v>
      </c>
      <c r="G23" s="5">
        <v>91.79</v>
      </c>
      <c r="H23" s="5">
        <v>83.87</v>
      </c>
      <c r="I23" s="7">
        <v>92.16</v>
      </c>
      <c r="J23" s="5">
        <v>87.82</v>
      </c>
      <c r="K23" s="5">
        <v>84.14</v>
      </c>
      <c r="L23" s="5">
        <v>82.44</v>
      </c>
      <c r="M23" s="5">
        <v>90.31</v>
      </c>
      <c r="N23" s="17">
        <v>8483</v>
      </c>
      <c r="P23" s="44">
        <f t="shared" si="3"/>
        <v>4.1832968205312762</v>
      </c>
      <c r="Q23" s="44">
        <f t="shared" si="4"/>
        <v>4.5377548470404845</v>
      </c>
      <c r="R23" s="44">
        <f t="shared" si="5"/>
        <v>4.1462196211056268</v>
      </c>
      <c r="S23" s="44">
        <f t="shared" si="6"/>
        <v>4.556046265423805</v>
      </c>
      <c r="T23" s="44">
        <f t="shared" si="7"/>
        <v>4.3414928714140464</v>
      </c>
      <c r="U23" s="44">
        <f t="shared" si="8"/>
        <v>4.15956741289886</v>
      </c>
      <c r="V23" s="44">
        <f t="shared" si="9"/>
        <v>4.0755257608673876</v>
      </c>
      <c r="W23" s="44">
        <f t="shared" si="10"/>
        <v>4.4645891735072034</v>
      </c>
    </row>
    <row r="24" spans="2:23" ht="15" x14ac:dyDescent="0.25">
      <c r="B24" s="30">
        <v>42460</v>
      </c>
      <c r="C24" s="29">
        <f>(68+67.45)/2</f>
        <v>67.724999999999994</v>
      </c>
      <c r="D24" s="4">
        <v>37.340000000000003</v>
      </c>
      <c r="E24" s="34">
        <f t="shared" si="1"/>
        <v>25.288515000000004</v>
      </c>
      <c r="F24" s="5">
        <v>88.62</v>
      </c>
      <c r="G24" s="5">
        <v>97.79</v>
      </c>
      <c r="H24" s="5">
        <v>88.41</v>
      </c>
      <c r="I24" s="7">
        <v>96.16</v>
      </c>
      <c r="J24" s="9">
        <v>93.32</v>
      </c>
      <c r="K24" s="5">
        <v>91.64</v>
      </c>
      <c r="L24" s="5">
        <v>89.94</v>
      </c>
      <c r="M24" s="5">
        <v>96.81</v>
      </c>
      <c r="N24" s="18">
        <v>8530</v>
      </c>
      <c r="P24" s="44">
        <f t="shared" si="3"/>
        <v>4.157126432090652</v>
      </c>
      <c r="Q24" s="44">
        <f t="shared" si="4"/>
        <v>4.5872872240368414</v>
      </c>
      <c r="R24" s="44">
        <f t="shared" si="5"/>
        <v>4.1472754215880672</v>
      </c>
      <c r="S24" s="44">
        <f t="shared" si="6"/>
        <v>4.5108246187072565</v>
      </c>
      <c r="T24" s="44">
        <f t="shared" si="7"/>
        <v>4.3776014290532572</v>
      </c>
      <c r="U24" s="44">
        <f t="shared" si="8"/>
        <v>4.298793345032581</v>
      </c>
      <c r="V24" s="44">
        <f t="shared" si="9"/>
        <v>4.2190470695354687</v>
      </c>
      <c r="W24" s="44">
        <f t="shared" si="10"/>
        <v>4.5413158416914472</v>
      </c>
    </row>
    <row r="25" spans="2:23" ht="15" x14ac:dyDescent="0.25">
      <c r="B25" s="30">
        <v>42490</v>
      </c>
      <c r="C25" s="29">
        <f>(67.5+66.9)/2</f>
        <v>67.2</v>
      </c>
      <c r="D25" s="4">
        <v>40.75</v>
      </c>
      <c r="E25" s="34">
        <f t="shared" si="1"/>
        <v>27.384</v>
      </c>
      <c r="F25" s="5">
        <v>93.24</v>
      </c>
      <c r="G25" s="5">
        <v>103.88</v>
      </c>
      <c r="H25" s="5">
        <v>92.17</v>
      </c>
      <c r="I25" s="7">
        <v>101.16</v>
      </c>
      <c r="J25" s="5">
        <v>99.17</v>
      </c>
      <c r="K25" s="5">
        <v>96.14</v>
      </c>
      <c r="L25" s="5">
        <v>94.44</v>
      </c>
      <c r="M25" s="5">
        <v>99.31</v>
      </c>
      <c r="N25" s="19">
        <v>9235</v>
      </c>
      <c r="P25" s="44">
        <f t="shared" si="3"/>
        <v>3.6870492395460936</v>
      </c>
      <c r="Q25" s="44">
        <f t="shared" si="4"/>
        <v>4.1077935972120141</v>
      </c>
      <c r="R25" s="44">
        <f t="shared" si="5"/>
        <v>3.6447375419236749</v>
      </c>
      <c r="S25" s="44">
        <f t="shared" si="6"/>
        <v>4.0002348892372677</v>
      </c>
      <c r="T25" s="44">
        <f t="shared" si="7"/>
        <v>3.9215430403880966</v>
      </c>
      <c r="U25" s="44">
        <f t="shared" si="8"/>
        <v>3.80172580319564</v>
      </c>
      <c r="V25" s="44">
        <f t="shared" si="9"/>
        <v>3.7345016107114231</v>
      </c>
      <c r="W25" s="44">
        <f t="shared" si="10"/>
        <v>3.9270791503573852</v>
      </c>
    </row>
    <row r="26" spans="2:23" ht="15" x14ac:dyDescent="0.25">
      <c r="B26" s="30">
        <v>42521</v>
      </c>
      <c r="C26" s="29">
        <f>(67.15+68.05)/2</f>
        <v>67.599999999999994</v>
      </c>
      <c r="D26" s="4">
        <v>45.94</v>
      </c>
      <c r="E26" s="34">
        <f t="shared" si="1"/>
        <v>31.055439999999994</v>
      </c>
      <c r="F26" s="5">
        <v>90.24</v>
      </c>
      <c r="G26" s="5">
        <v>99.88</v>
      </c>
      <c r="H26" s="5">
        <v>90.17</v>
      </c>
      <c r="I26" s="7">
        <v>99.16</v>
      </c>
      <c r="J26" s="5">
        <v>95.17</v>
      </c>
      <c r="K26" s="5">
        <v>90.87</v>
      </c>
      <c r="L26" s="5">
        <v>91.44</v>
      </c>
      <c r="M26" s="5">
        <v>95.31</v>
      </c>
      <c r="N26" s="20">
        <v>8689</v>
      </c>
      <c r="P26" s="44">
        <f t="shared" si="3"/>
        <v>3.2953549517966692</v>
      </c>
      <c r="Q26" s="44">
        <f t="shared" si="4"/>
        <v>3.6473853345018985</v>
      </c>
      <c r="R26" s="44">
        <f t="shared" si="5"/>
        <v>3.2927987145778559</v>
      </c>
      <c r="S26" s="44">
        <f t="shared" si="6"/>
        <v>3.62109260882267</v>
      </c>
      <c r="T26" s="44">
        <f t="shared" si="7"/>
        <v>3.4753870873502777</v>
      </c>
      <c r="U26" s="44">
        <f t="shared" si="8"/>
        <v>3.3183610867659947</v>
      </c>
      <c r="V26" s="44">
        <f t="shared" si="9"/>
        <v>3.3391761612620505</v>
      </c>
      <c r="W26" s="44">
        <f t="shared" si="10"/>
        <v>3.4804995617879055</v>
      </c>
    </row>
    <row r="27" spans="2:23" ht="15" x14ac:dyDescent="0.25">
      <c r="B27" s="30">
        <v>42551</v>
      </c>
      <c r="C27" s="29">
        <f>(68.3+68.05)/2</f>
        <v>68.174999999999997</v>
      </c>
      <c r="D27" s="4">
        <v>47.69</v>
      </c>
      <c r="E27" s="34">
        <f t="shared" si="1"/>
        <v>32.512657499999996</v>
      </c>
      <c r="F27" s="5">
        <v>88.28</v>
      </c>
      <c r="G27" s="5">
        <v>96.87</v>
      </c>
      <c r="H27" s="5">
        <v>89.21</v>
      </c>
      <c r="I27" s="7">
        <v>97.16</v>
      </c>
      <c r="J27" s="5">
        <v>95.68</v>
      </c>
      <c r="K27" s="6">
        <v>90.39</v>
      </c>
      <c r="L27" s="6">
        <v>90.06</v>
      </c>
      <c r="M27" s="5">
        <v>95.85</v>
      </c>
      <c r="N27" s="21">
        <v>8907.9500000000007</v>
      </c>
      <c r="P27" s="44">
        <f t="shared" si="3"/>
        <v>2.842658162305864</v>
      </c>
      <c r="Q27" s="44">
        <f t="shared" si="4"/>
        <v>3.1192602648682493</v>
      </c>
      <c r="R27" s="44">
        <f t="shared" si="5"/>
        <v>2.8726046064715236</v>
      </c>
      <c r="S27" s="44">
        <f t="shared" si="6"/>
        <v>3.1285984033715195</v>
      </c>
      <c r="T27" s="44">
        <f t="shared" si="7"/>
        <v>3.0809416965272436</v>
      </c>
      <c r="U27" s="44">
        <f t="shared" si="8"/>
        <v>2.9106011700365544</v>
      </c>
      <c r="V27" s="44">
        <f t="shared" si="9"/>
        <v>2.899975012429385</v>
      </c>
      <c r="W27" s="44">
        <f t="shared" si="10"/>
        <v>3.0864157777188157</v>
      </c>
    </row>
    <row r="28" spans="2:23" ht="15" x14ac:dyDescent="0.25">
      <c r="B28" s="30">
        <v>42582</v>
      </c>
      <c r="C28" s="29">
        <v>68.180000000000007</v>
      </c>
      <c r="D28" s="4">
        <v>44.13</v>
      </c>
      <c r="E28" s="34">
        <f t="shared" si="1"/>
        <v>30.087834000000001</v>
      </c>
      <c r="F28" s="5">
        <v>88.78</v>
      </c>
      <c r="G28" s="5">
        <v>100.89</v>
      </c>
      <c r="H28" s="5">
        <v>90.21</v>
      </c>
      <c r="I28" s="7">
        <v>98.72</v>
      </c>
      <c r="J28" s="5">
        <v>97.18</v>
      </c>
      <c r="K28" s="6">
        <v>93.7</v>
      </c>
      <c r="L28" s="6">
        <v>92.5</v>
      </c>
      <c r="M28" s="5">
        <v>97.35</v>
      </c>
      <c r="N28" s="22">
        <v>10245.950000000001</v>
      </c>
      <c r="P28" s="44">
        <f t="shared" si="3"/>
        <v>2.7306288327861239</v>
      </c>
      <c r="Q28" s="44">
        <f t="shared" si="4"/>
        <v>3.1030991545369679</v>
      </c>
      <c r="R28" s="44">
        <f t="shared" si="5"/>
        <v>2.7746117031497657</v>
      </c>
      <c r="S28" s="44">
        <f t="shared" si="6"/>
        <v>3.036355917691441</v>
      </c>
      <c r="T28" s="44">
        <f t="shared" si="7"/>
        <v>2.9889897496075188</v>
      </c>
      <c r="U28" s="44">
        <f t="shared" si="8"/>
        <v>2.881954512638655</v>
      </c>
      <c r="V28" s="44">
        <f t="shared" si="9"/>
        <v>2.8450458102355984</v>
      </c>
      <c r="W28" s="44">
        <f t="shared" si="10"/>
        <v>2.9942184824479514</v>
      </c>
    </row>
    <row r="29" spans="2:23" ht="15" x14ac:dyDescent="0.25">
      <c r="B29" s="30">
        <v>42613</v>
      </c>
      <c r="C29" s="27">
        <v>67.75</v>
      </c>
      <c r="D29" s="5">
        <v>44.87</v>
      </c>
      <c r="E29" s="34">
        <f t="shared" si="1"/>
        <v>30.399424999999997</v>
      </c>
      <c r="F29" s="5">
        <v>88.78</v>
      </c>
      <c r="G29" s="5">
        <v>102.39</v>
      </c>
      <c r="H29" s="5">
        <v>90.21</v>
      </c>
      <c r="I29" s="7">
        <v>98.72</v>
      </c>
      <c r="J29" s="5">
        <v>97.18</v>
      </c>
      <c r="K29" s="5">
        <v>91.39</v>
      </c>
      <c r="L29" s="6">
        <v>92.5</v>
      </c>
      <c r="M29" s="5">
        <v>99.35</v>
      </c>
      <c r="N29" s="23">
        <v>10347</v>
      </c>
      <c r="P29" s="44">
        <f t="shared" si="3"/>
        <v>2.9506942905893458</v>
      </c>
      <c r="Q29" s="44">
        <f t="shared" si="4"/>
        <v>3.4030365894733401</v>
      </c>
      <c r="R29" s="44">
        <f t="shared" si="5"/>
        <v>2.9982218061958195</v>
      </c>
      <c r="S29" s="44">
        <f t="shared" si="6"/>
        <v>3.2810603780916896</v>
      </c>
      <c r="T29" s="44">
        <f t="shared" si="7"/>
        <v>3.2298768997462566</v>
      </c>
      <c r="U29" s="44">
        <f t="shared" si="8"/>
        <v>3.0374403155773857</v>
      </c>
      <c r="V29" s="44">
        <f t="shared" si="9"/>
        <v>3.0743323032159777</v>
      </c>
      <c r="W29" s="44">
        <f t="shared" si="10"/>
        <v>3.3019990737784579</v>
      </c>
    </row>
    <row r="30" spans="2:23" ht="15" x14ac:dyDescent="0.25">
      <c r="B30" s="30">
        <v>42643</v>
      </c>
      <c r="C30" s="27">
        <v>67.900000000000006</v>
      </c>
      <c r="D30" s="5">
        <v>45.04</v>
      </c>
      <c r="E30" s="34">
        <f t="shared" si="1"/>
        <v>30.582160000000002</v>
      </c>
      <c r="F30" s="5">
        <v>89.18</v>
      </c>
      <c r="G30" s="5">
        <v>102.33</v>
      </c>
      <c r="H30" s="5">
        <v>90.76</v>
      </c>
      <c r="I30" s="5">
        <v>98.72</v>
      </c>
      <c r="J30" s="5">
        <v>97.91</v>
      </c>
      <c r="K30" s="5">
        <v>93.7</v>
      </c>
      <c r="L30" s="6">
        <v>92.5</v>
      </c>
      <c r="M30" s="5">
        <v>99.35</v>
      </c>
      <c r="N30" s="24">
        <v>10182.73</v>
      </c>
      <c r="P30" s="44">
        <f t="shared" si="3"/>
        <v>2.933608119232519</v>
      </c>
      <c r="Q30" s="44">
        <f t="shared" si="4"/>
        <v>3.3661820906152009</v>
      </c>
      <c r="R30" s="44">
        <f t="shared" si="5"/>
        <v>2.9855827865165216</v>
      </c>
      <c r="S30" s="44">
        <f t="shared" si="6"/>
        <v>3.2474298444789667</v>
      </c>
      <c r="T30" s="44">
        <f t="shared" si="7"/>
        <v>3.2207846036561549</v>
      </c>
      <c r="U30" s="44">
        <f t="shared" si="8"/>
        <v>3.0822951420956155</v>
      </c>
      <c r="V30" s="44">
        <f t="shared" si="9"/>
        <v>3.0428207112470056</v>
      </c>
      <c r="W30" s="44">
        <f t="shared" si="10"/>
        <v>3.2681539206744867</v>
      </c>
    </row>
    <row r="31" spans="2:23" ht="15" x14ac:dyDescent="0.25">
      <c r="B31" s="30">
        <v>42674</v>
      </c>
      <c r="C31" s="27">
        <v>67.53</v>
      </c>
      <c r="D31" s="5">
        <v>49.29</v>
      </c>
      <c r="E31" s="34">
        <f t="shared" si="1"/>
        <v>33.285536999999998</v>
      </c>
      <c r="F31" s="5">
        <v>87.08</v>
      </c>
      <c r="G31" s="5">
        <v>103.29</v>
      </c>
      <c r="H31" s="5">
        <v>88.51</v>
      </c>
      <c r="I31" s="6">
        <v>96.6</v>
      </c>
      <c r="J31" s="5">
        <v>98.18</v>
      </c>
      <c r="K31" s="5">
        <v>92.59</v>
      </c>
      <c r="L31" s="6">
        <v>91.4</v>
      </c>
      <c r="M31" s="5">
        <v>100.31</v>
      </c>
      <c r="N31" s="23">
        <v>10258.1</v>
      </c>
      <c r="P31" s="44">
        <f t="shared" si="3"/>
        <v>2.8474116936148395</v>
      </c>
      <c r="Q31" s="44">
        <f t="shared" si="4"/>
        <v>3.3774592769117682</v>
      </c>
      <c r="R31" s="44">
        <f t="shared" si="5"/>
        <v>2.8941709807286338</v>
      </c>
      <c r="S31" s="44">
        <f t="shared" si="6"/>
        <v>3.1587042903444358</v>
      </c>
      <c r="T31" s="44">
        <f t="shared" si="7"/>
        <v>3.2103683977848525</v>
      </c>
      <c r="U31" s="44">
        <f t="shared" si="8"/>
        <v>3.0275820936127467</v>
      </c>
      <c r="V31" s="44">
        <f t="shared" si="9"/>
        <v>2.988670519021547</v>
      </c>
      <c r="W31" s="44">
        <f t="shared" si="10"/>
        <v>3.2800168464228818</v>
      </c>
    </row>
    <row r="32" spans="2:23" ht="15" x14ac:dyDescent="0.25">
      <c r="B32" s="30">
        <v>42704</v>
      </c>
      <c r="C32" s="27">
        <v>68.2</v>
      </c>
      <c r="D32" s="5">
        <v>45.26</v>
      </c>
      <c r="E32" s="34">
        <f t="shared" si="1"/>
        <v>30.867319999999999</v>
      </c>
      <c r="F32" s="5">
        <v>85.64</v>
      </c>
      <c r="G32" s="5">
        <v>105.29</v>
      </c>
      <c r="H32" s="5">
        <v>87.07</v>
      </c>
      <c r="I32" s="6">
        <v>96.6</v>
      </c>
      <c r="J32" s="5">
        <v>98.18</v>
      </c>
      <c r="K32" s="5">
        <v>92.59</v>
      </c>
      <c r="L32" s="5">
        <v>91.4</v>
      </c>
      <c r="M32" s="5">
        <v>102.31</v>
      </c>
      <c r="N32" s="23">
        <v>11136</v>
      </c>
      <c r="P32" s="44">
        <f t="shared" si="3"/>
        <v>2.5728892401525627</v>
      </c>
      <c r="Q32" s="44">
        <f t="shared" si="4"/>
        <v>3.1632357320838782</v>
      </c>
      <c r="R32" s="44">
        <f t="shared" si="5"/>
        <v>2.6158508423643578</v>
      </c>
      <c r="S32" s="44">
        <f t="shared" si="6"/>
        <v>2.9021613801814286</v>
      </c>
      <c r="T32" s="44">
        <f t="shared" si="7"/>
        <v>2.9496294441636923</v>
      </c>
      <c r="U32" s="44">
        <f t="shared" si="8"/>
        <v>2.7816886355175825</v>
      </c>
      <c r="V32" s="44">
        <f t="shared" si="9"/>
        <v>2.7459373721385361</v>
      </c>
      <c r="W32" s="44">
        <f t="shared" si="10"/>
        <v>3.0737073582439125</v>
      </c>
    </row>
    <row r="33" spans="2:23" ht="15" x14ac:dyDescent="0.25">
      <c r="B33" s="30">
        <v>42735</v>
      </c>
      <c r="C33" s="27">
        <v>69</v>
      </c>
      <c r="D33" s="5">
        <v>52.62</v>
      </c>
      <c r="E33" s="34">
        <f t="shared" si="1"/>
        <v>36.3078</v>
      </c>
      <c r="F33" s="5">
        <v>85.08</v>
      </c>
      <c r="G33" s="5">
        <v>105.29</v>
      </c>
      <c r="H33" s="5">
        <v>86.51</v>
      </c>
      <c r="I33" s="6">
        <v>94.6</v>
      </c>
      <c r="J33" s="5">
        <v>100.18</v>
      </c>
      <c r="K33" s="5">
        <v>91.59</v>
      </c>
      <c r="L33" s="5">
        <v>90.4</v>
      </c>
      <c r="M33" s="5">
        <v>102.31</v>
      </c>
      <c r="N33" s="23">
        <v>11006</v>
      </c>
      <c r="P33" s="44">
        <f t="shared" si="3"/>
        <v>2.7563131493113104</v>
      </c>
      <c r="Q33" s="44">
        <f t="shared" si="4"/>
        <v>3.4110509108014564</v>
      </c>
      <c r="R33" s="44">
        <f t="shared" si="5"/>
        <v>2.802640462469693</v>
      </c>
      <c r="S33" s="44">
        <f t="shared" si="6"/>
        <v>3.0647299474006813</v>
      </c>
      <c r="T33" s="44">
        <f t="shared" si="7"/>
        <v>3.2455036588858381</v>
      </c>
      <c r="U33" s="44">
        <f t="shared" si="8"/>
        <v>2.96721581271066</v>
      </c>
      <c r="V33" s="44">
        <f t="shared" si="9"/>
        <v>2.9286637129494886</v>
      </c>
      <c r="W33" s="44">
        <f t="shared" si="10"/>
        <v>3.3145086777860859</v>
      </c>
    </row>
    <row r="34" spans="2:23" ht="15" x14ac:dyDescent="0.25">
      <c r="B34" s="30">
        <v>42766</v>
      </c>
      <c r="C34" s="28">
        <v>69.05</v>
      </c>
      <c r="D34" s="5">
        <v>53.59</v>
      </c>
      <c r="E34" s="34">
        <f t="shared" si="1"/>
        <v>37.003895</v>
      </c>
      <c r="F34" s="6">
        <v>86.1</v>
      </c>
      <c r="G34" s="5">
        <v>108.32</v>
      </c>
      <c r="H34" s="5">
        <v>87.53</v>
      </c>
      <c r="I34" s="5">
        <v>95.65</v>
      </c>
      <c r="J34" s="5">
        <v>103.18</v>
      </c>
      <c r="K34" s="5">
        <v>91.63</v>
      </c>
      <c r="L34" s="5">
        <v>90.42</v>
      </c>
      <c r="M34" s="5">
        <v>105.34</v>
      </c>
      <c r="N34" s="23">
        <v>9977.14</v>
      </c>
      <c r="P34" s="44">
        <f t="shared" si="3"/>
        <v>2.3713912712970764</v>
      </c>
      <c r="Q34" s="44">
        <f t="shared" si="4"/>
        <v>2.9833809814970884</v>
      </c>
      <c r="R34" s="44">
        <f t="shared" si="5"/>
        <v>2.4107767476960875</v>
      </c>
      <c r="S34" s="44">
        <f t="shared" si="6"/>
        <v>2.6344201521436168</v>
      </c>
      <c r="T34" s="44">
        <f t="shared" si="7"/>
        <v>2.8418136047901554</v>
      </c>
      <c r="U34" s="44">
        <f t="shared" si="8"/>
        <v>2.5237001415673768</v>
      </c>
      <c r="V34" s="44">
        <f t="shared" si="9"/>
        <v>2.4903739692297524</v>
      </c>
      <c r="W34" s="44">
        <f t="shared" si="10"/>
        <v>2.901304953756493</v>
      </c>
    </row>
    <row r="35" spans="2:23" ht="15" x14ac:dyDescent="0.25">
      <c r="B35" s="30">
        <v>42794</v>
      </c>
      <c r="C35" s="27">
        <v>68.125</v>
      </c>
      <c r="D35" s="5">
        <v>54.35</v>
      </c>
      <c r="E35" s="34">
        <f t="shared" si="1"/>
        <v>37.025937499999998</v>
      </c>
      <c r="F35" s="6">
        <v>87.1</v>
      </c>
      <c r="G35" s="5">
        <v>110.32</v>
      </c>
      <c r="H35" s="5">
        <v>88.53</v>
      </c>
      <c r="I35" s="5">
        <v>96.65</v>
      </c>
      <c r="J35" s="5">
        <v>105.18</v>
      </c>
      <c r="K35" s="5">
        <v>93.63</v>
      </c>
      <c r="L35" s="5">
        <v>92.42</v>
      </c>
      <c r="M35" s="5">
        <v>107.34</v>
      </c>
      <c r="N35" s="23">
        <v>10611.74</v>
      </c>
      <c r="P35" s="44">
        <f t="shared" si="3"/>
        <v>2.3538062682320331</v>
      </c>
      <c r="Q35" s="44">
        <f t="shared" si="4"/>
        <v>2.9813077785460149</v>
      </c>
      <c r="R35" s="44">
        <f t="shared" si="5"/>
        <v>2.3924508487552458</v>
      </c>
      <c r="S35" s="44">
        <f t="shared" si="6"/>
        <v>2.6118872080898514</v>
      </c>
      <c r="T35" s="44">
        <f t="shared" si="7"/>
        <v>2.8424034821199231</v>
      </c>
      <c r="U35" s="44">
        <f t="shared" si="8"/>
        <v>2.5302741778939755</v>
      </c>
      <c r="V35" s="44">
        <f t="shared" si="9"/>
        <v>2.4975749174512574</v>
      </c>
      <c r="W35" s="44">
        <f t="shared" si="10"/>
        <v>2.9007757156375025</v>
      </c>
    </row>
    <row r="36" spans="2:23" ht="15" x14ac:dyDescent="0.25">
      <c r="B36" s="30">
        <v>42825</v>
      </c>
      <c r="C36" s="27">
        <v>67</v>
      </c>
      <c r="D36" s="6">
        <v>50.9</v>
      </c>
      <c r="E36" s="34">
        <f t="shared" si="1"/>
        <v>34.102999999999994</v>
      </c>
      <c r="F36" s="6">
        <v>87.1</v>
      </c>
      <c r="G36" s="5">
        <v>113.32</v>
      </c>
      <c r="H36" s="5">
        <v>88.53</v>
      </c>
      <c r="I36" s="5">
        <v>96.65</v>
      </c>
      <c r="J36" s="5">
        <v>107.18</v>
      </c>
      <c r="K36" s="5">
        <v>94.63</v>
      </c>
      <c r="L36" s="5">
        <v>94.42</v>
      </c>
      <c r="M36" s="5">
        <v>109.34</v>
      </c>
      <c r="N36" s="23">
        <v>10220.870000000001</v>
      </c>
      <c r="P36" s="44">
        <f t="shared" si="3"/>
        <v>2.3524049863693524</v>
      </c>
      <c r="Q36" s="44">
        <f t="shared" si="4"/>
        <v>3.0605572107390935</v>
      </c>
      <c r="R36" s="44">
        <f t="shared" si="5"/>
        <v>2.3910265607724317</v>
      </c>
      <c r="S36" s="44">
        <f t="shared" si="6"/>
        <v>2.6103322839563483</v>
      </c>
      <c r="T36" s="44">
        <f t="shared" si="7"/>
        <v>2.8947275136517479</v>
      </c>
      <c r="U36" s="44">
        <f t="shared" si="8"/>
        <v>2.5557759341002506</v>
      </c>
      <c r="V36" s="44">
        <f t="shared" si="9"/>
        <v>2.5501042343627356</v>
      </c>
      <c r="W36" s="44">
        <f t="shared" si="10"/>
        <v>2.9530649966661886</v>
      </c>
    </row>
    <row r="37" spans="2:23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23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23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</sheetData>
  <mergeCells count="4">
    <mergeCell ref="F3:H3"/>
    <mergeCell ref="L3:M3"/>
    <mergeCell ref="P3:R3"/>
    <mergeCell ref="V3:W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115"/>
  <sheetViews>
    <sheetView workbookViewId="0">
      <selection activeCell="H10" sqref="H10"/>
    </sheetView>
  </sheetViews>
  <sheetFormatPr defaultRowHeight="15" x14ac:dyDescent="0.25"/>
  <cols>
    <col min="2" max="2" width="8.28515625" customWidth="1"/>
    <col min="3" max="3" width="6.7109375" customWidth="1"/>
    <col min="4" max="4" width="10.28515625" customWidth="1"/>
    <col min="6" max="6" width="10" bestFit="1" customWidth="1"/>
    <col min="7" max="7" width="9.28515625" bestFit="1" customWidth="1"/>
    <col min="8" max="8" width="7.85546875" customWidth="1"/>
    <col min="9" max="9" width="7.7109375" customWidth="1"/>
    <col min="10" max="10" width="6.7109375" customWidth="1"/>
    <col min="11" max="11" width="9.85546875" customWidth="1"/>
    <col min="13" max="14" width="9.85546875" customWidth="1"/>
    <col min="17" max="17" width="7.28515625" customWidth="1"/>
    <col min="18" max="18" width="6.140625" customWidth="1"/>
    <col min="19" max="19" width="14" customWidth="1"/>
    <col min="20" max="20" width="14.42578125" customWidth="1"/>
    <col min="21" max="21" width="15.5703125" customWidth="1"/>
    <col min="256" max="256" width="11.28515625" bestFit="1" customWidth="1"/>
    <col min="257" max="257" width="10.28515625" bestFit="1" customWidth="1"/>
    <col min="258" max="258" width="1.140625" customWidth="1"/>
    <col min="260" max="261" width="10.28515625" customWidth="1"/>
    <col min="263" max="263" width="8.42578125" customWidth="1"/>
    <col min="264" max="264" width="9.28515625" bestFit="1" customWidth="1"/>
    <col min="265" max="265" width="7.85546875" customWidth="1"/>
    <col min="266" max="268" width="9.85546875" customWidth="1"/>
    <col min="270" max="271" width="9.85546875" customWidth="1"/>
    <col min="276" max="276" width="15.85546875" bestFit="1" customWidth="1"/>
    <col min="277" max="277" width="15.5703125" customWidth="1"/>
    <col min="512" max="512" width="11.28515625" bestFit="1" customWidth="1"/>
    <col min="513" max="513" width="10.28515625" bestFit="1" customWidth="1"/>
    <col min="514" max="514" width="1.140625" customWidth="1"/>
    <col min="516" max="517" width="10.28515625" customWidth="1"/>
    <col min="519" max="519" width="8.42578125" customWidth="1"/>
    <col min="520" max="520" width="9.28515625" bestFit="1" customWidth="1"/>
    <col min="521" max="521" width="7.85546875" customWidth="1"/>
    <col min="522" max="524" width="9.85546875" customWidth="1"/>
    <col min="526" max="527" width="9.85546875" customWidth="1"/>
    <col min="532" max="532" width="15.85546875" bestFit="1" customWidth="1"/>
    <col min="533" max="533" width="15.5703125" customWidth="1"/>
    <col min="768" max="768" width="11.28515625" bestFit="1" customWidth="1"/>
    <col min="769" max="769" width="10.28515625" bestFit="1" customWidth="1"/>
    <col min="770" max="770" width="1.140625" customWidth="1"/>
    <col min="772" max="773" width="10.28515625" customWidth="1"/>
    <col min="775" max="775" width="8.42578125" customWidth="1"/>
    <col min="776" max="776" width="9.28515625" bestFit="1" customWidth="1"/>
    <col min="777" max="777" width="7.85546875" customWidth="1"/>
    <col min="778" max="780" width="9.85546875" customWidth="1"/>
    <col min="782" max="783" width="9.85546875" customWidth="1"/>
    <col min="788" max="788" width="15.85546875" bestFit="1" customWidth="1"/>
    <col min="789" max="789" width="15.5703125" customWidth="1"/>
    <col min="1024" max="1024" width="11.28515625" bestFit="1" customWidth="1"/>
    <col min="1025" max="1025" width="10.28515625" bestFit="1" customWidth="1"/>
    <col min="1026" max="1026" width="1.140625" customWidth="1"/>
    <col min="1028" max="1029" width="10.28515625" customWidth="1"/>
    <col min="1031" max="1031" width="8.42578125" customWidth="1"/>
    <col min="1032" max="1032" width="9.28515625" bestFit="1" customWidth="1"/>
    <col min="1033" max="1033" width="7.85546875" customWidth="1"/>
    <col min="1034" max="1036" width="9.85546875" customWidth="1"/>
    <col min="1038" max="1039" width="9.85546875" customWidth="1"/>
    <col min="1044" max="1044" width="15.85546875" bestFit="1" customWidth="1"/>
    <col min="1045" max="1045" width="15.5703125" customWidth="1"/>
    <col min="1280" max="1280" width="11.28515625" bestFit="1" customWidth="1"/>
    <col min="1281" max="1281" width="10.28515625" bestFit="1" customWidth="1"/>
    <col min="1282" max="1282" width="1.140625" customWidth="1"/>
    <col min="1284" max="1285" width="10.28515625" customWidth="1"/>
    <col min="1287" max="1287" width="8.42578125" customWidth="1"/>
    <col min="1288" max="1288" width="9.28515625" bestFit="1" customWidth="1"/>
    <col min="1289" max="1289" width="7.85546875" customWidth="1"/>
    <col min="1290" max="1292" width="9.85546875" customWidth="1"/>
    <col min="1294" max="1295" width="9.85546875" customWidth="1"/>
    <col min="1300" max="1300" width="15.85546875" bestFit="1" customWidth="1"/>
    <col min="1301" max="1301" width="15.5703125" customWidth="1"/>
    <col min="1536" max="1536" width="11.28515625" bestFit="1" customWidth="1"/>
    <col min="1537" max="1537" width="10.28515625" bestFit="1" customWidth="1"/>
    <col min="1538" max="1538" width="1.140625" customWidth="1"/>
    <col min="1540" max="1541" width="10.28515625" customWidth="1"/>
    <col min="1543" max="1543" width="8.42578125" customWidth="1"/>
    <col min="1544" max="1544" width="9.28515625" bestFit="1" customWidth="1"/>
    <col min="1545" max="1545" width="7.85546875" customWidth="1"/>
    <col min="1546" max="1548" width="9.85546875" customWidth="1"/>
    <col min="1550" max="1551" width="9.85546875" customWidth="1"/>
    <col min="1556" max="1556" width="15.85546875" bestFit="1" customWidth="1"/>
    <col min="1557" max="1557" width="15.5703125" customWidth="1"/>
    <col min="1792" max="1792" width="11.28515625" bestFit="1" customWidth="1"/>
    <col min="1793" max="1793" width="10.28515625" bestFit="1" customWidth="1"/>
    <col min="1794" max="1794" width="1.140625" customWidth="1"/>
    <col min="1796" max="1797" width="10.28515625" customWidth="1"/>
    <col min="1799" max="1799" width="8.42578125" customWidth="1"/>
    <col min="1800" max="1800" width="9.28515625" bestFit="1" customWidth="1"/>
    <col min="1801" max="1801" width="7.85546875" customWidth="1"/>
    <col min="1802" max="1804" width="9.85546875" customWidth="1"/>
    <col min="1806" max="1807" width="9.85546875" customWidth="1"/>
    <col min="1812" max="1812" width="15.85546875" bestFit="1" customWidth="1"/>
    <col min="1813" max="1813" width="15.5703125" customWidth="1"/>
    <col min="2048" max="2048" width="11.28515625" bestFit="1" customWidth="1"/>
    <col min="2049" max="2049" width="10.28515625" bestFit="1" customWidth="1"/>
    <col min="2050" max="2050" width="1.140625" customWidth="1"/>
    <col min="2052" max="2053" width="10.28515625" customWidth="1"/>
    <col min="2055" max="2055" width="8.42578125" customWidth="1"/>
    <col min="2056" max="2056" width="9.28515625" bestFit="1" customWidth="1"/>
    <col min="2057" max="2057" width="7.85546875" customWidth="1"/>
    <col min="2058" max="2060" width="9.85546875" customWidth="1"/>
    <col min="2062" max="2063" width="9.85546875" customWidth="1"/>
    <col min="2068" max="2068" width="15.85546875" bestFit="1" customWidth="1"/>
    <col min="2069" max="2069" width="15.5703125" customWidth="1"/>
    <col min="2304" max="2304" width="11.28515625" bestFit="1" customWidth="1"/>
    <col min="2305" max="2305" width="10.28515625" bestFit="1" customWidth="1"/>
    <col min="2306" max="2306" width="1.140625" customWidth="1"/>
    <col min="2308" max="2309" width="10.28515625" customWidth="1"/>
    <col min="2311" max="2311" width="8.42578125" customWidth="1"/>
    <col min="2312" max="2312" width="9.28515625" bestFit="1" customWidth="1"/>
    <col min="2313" max="2313" width="7.85546875" customWidth="1"/>
    <col min="2314" max="2316" width="9.85546875" customWidth="1"/>
    <col min="2318" max="2319" width="9.85546875" customWidth="1"/>
    <col min="2324" max="2324" width="15.85546875" bestFit="1" customWidth="1"/>
    <col min="2325" max="2325" width="15.5703125" customWidth="1"/>
    <col min="2560" max="2560" width="11.28515625" bestFit="1" customWidth="1"/>
    <col min="2561" max="2561" width="10.28515625" bestFit="1" customWidth="1"/>
    <col min="2562" max="2562" width="1.140625" customWidth="1"/>
    <col min="2564" max="2565" width="10.28515625" customWidth="1"/>
    <col min="2567" max="2567" width="8.42578125" customWidth="1"/>
    <col min="2568" max="2568" width="9.28515625" bestFit="1" customWidth="1"/>
    <col min="2569" max="2569" width="7.85546875" customWidth="1"/>
    <col min="2570" max="2572" width="9.85546875" customWidth="1"/>
    <col min="2574" max="2575" width="9.85546875" customWidth="1"/>
    <col min="2580" max="2580" width="15.85546875" bestFit="1" customWidth="1"/>
    <col min="2581" max="2581" width="15.5703125" customWidth="1"/>
    <col min="2816" max="2816" width="11.28515625" bestFit="1" customWidth="1"/>
    <col min="2817" max="2817" width="10.28515625" bestFit="1" customWidth="1"/>
    <col min="2818" max="2818" width="1.140625" customWidth="1"/>
    <col min="2820" max="2821" width="10.28515625" customWidth="1"/>
    <col min="2823" max="2823" width="8.42578125" customWidth="1"/>
    <col min="2824" max="2824" width="9.28515625" bestFit="1" customWidth="1"/>
    <col min="2825" max="2825" width="7.85546875" customWidth="1"/>
    <col min="2826" max="2828" width="9.85546875" customWidth="1"/>
    <col min="2830" max="2831" width="9.85546875" customWidth="1"/>
    <col min="2836" max="2836" width="15.85546875" bestFit="1" customWidth="1"/>
    <col min="2837" max="2837" width="15.5703125" customWidth="1"/>
    <col min="3072" max="3072" width="11.28515625" bestFit="1" customWidth="1"/>
    <col min="3073" max="3073" width="10.28515625" bestFit="1" customWidth="1"/>
    <col min="3074" max="3074" width="1.140625" customWidth="1"/>
    <col min="3076" max="3077" width="10.28515625" customWidth="1"/>
    <col min="3079" max="3079" width="8.42578125" customWidth="1"/>
    <col min="3080" max="3080" width="9.28515625" bestFit="1" customWidth="1"/>
    <col min="3081" max="3081" width="7.85546875" customWidth="1"/>
    <col min="3082" max="3084" width="9.85546875" customWidth="1"/>
    <col min="3086" max="3087" width="9.85546875" customWidth="1"/>
    <col min="3092" max="3092" width="15.85546875" bestFit="1" customWidth="1"/>
    <col min="3093" max="3093" width="15.5703125" customWidth="1"/>
    <col min="3328" max="3328" width="11.28515625" bestFit="1" customWidth="1"/>
    <col min="3329" max="3329" width="10.28515625" bestFit="1" customWidth="1"/>
    <col min="3330" max="3330" width="1.140625" customWidth="1"/>
    <col min="3332" max="3333" width="10.28515625" customWidth="1"/>
    <col min="3335" max="3335" width="8.42578125" customWidth="1"/>
    <col min="3336" max="3336" width="9.28515625" bestFit="1" customWidth="1"/>
    <col min="3337" max="3337" width="7.85546875" customWidth="1"/>
    <col min="3338" max="3340" width="9.85546875" customWidth="1"/>
    <col min="3342" max="3343" width="9.85546875" customWidth="1"/>
    <col min="3348" max="3348" width="15.85546875" bestFit="1" customWidth="1"/>
    <col min="3349" max="3349" width="15.5703125" customWidth="1"/>
    <col min="3584" max="3584" width="11.28515625" bestFit="1" customWidth="1"/>
    <col min="3585" max="3585" width="10.28515625" bestFit="1" customWidth="1"/>
    <col min="3586" max="3586" width="1.140625" customWidth="1"/>
    <col min="3588" max="3589" width="10.28515625" customWidth="1"/>
    <col min="3591" max="3591" width="8.42578125" customWidth="1"/>
    <col min="3592" max="3592" width="9.28515625" bestFit="1" customWidth="1"/>
    <col min="3593" max="3593" width="7.85546875" customWidth="1"/>
    <col min="3594" max="3596" width="9.85546875" customWidth="1"/>
    <col min="3598" max="3599" width="9.85546875" customWidth="1"/>
    <col min="3604" max="3604" width="15.85546875" bestFit="1" customWidth="1"/>
    <col min="3605" max="3605" width="15.5703125" customWidth="1"/>
    <col min="3840" max="3840" width="11.28515625" bestFit="1" customWidth="1"/>
    <col min="3841" max="3841" width="10.28515625" bestFit="1" customWidth="1"/>
    <col min="3842" max="3842" width="1.140625" customWidth="1"/>
    <col min="3844" max="3845" width="10.28515625" customWidth="1"/>
    <col min="3847" max="3847" width="8.42578125" customWidth="1"/>
    <col min="3848" max="3848" width="9.28515625" bestFit="1" customWidth="1"/>
    <col min="3849" max="3849" width="7.85546875" customWidth="1"/>
    <col min="3850" max="3852" width="9.85546875" customWidth="1"/>
    <col min="3854" max="3855" width="9.85546875" customWidth="1"/>
    <col min="3860" max="3860" width="15.85546875" bestFit="1" customWidth="1"/>
    <col min="3861" max="3861" width="15.5703125" customWidth="1"/>
    <col min="4096" max="4096" width="11.28515625" bestFit="1" customWidth="1"/>
    <col min="4097" max="4097" width="10.28515625" bestFit="1" customWidth="1"/>
    <col min="4098" max="4098" width="1.140625" customWidth="1"/>
    <col min="4100" max="4101" width="10.28515625" customWidth="1"/>
    <col min="4103" max="4103" width="8.42578125" customWidth="1"/>
    <col min="4104" max="4104" width="9.28515625" bestFit="1" customWidth="1"/>
    <col min="4105" max="4105" width="7.85546875" customWidth="1"/>
    <col min="4106" max="4108" width="9.85546875" customWidth="1"/>
    <col min="4110" max="4111" width="9.85546875" customWidth="1"/>
    <col min="4116" max="4116" width="15.85546875" bestFit="1" customWidth="1"/>
    <col min="4117" max="4117" width="15.5703125" customWidth="1"/>
    <col min="4352" max="4352" width="11.28515625" bestFit="1" customWidth="1"/>
    <col min="4353" max="4353" width="10.28515625" bestFit="1" customWidth="1"/>
    <col min="4354" max="4354" width="1.140625" customWidth="1"/>
    <col min="4356" max="4357" width="10.28515625" customWidth="1"/>
    <col min="4359" max="4359" width="8.42578125" customWidth="1"/>
    <col min="4360" max="4360" width="9.28515625" bestFit="1" customWidth="1"/>
    <col min="4361" max="4361" width="7.85546875" customWidth="1"/>
    <col min="4362" max="4364" width="9.85546875" customWidth="1"/>
    <col min="4366" max="4367" width="9.85546875" customWidth="1"/>
    <col min="4372" max="4372" width="15.85546875" bestFit="1" customWidth="1"/>
    <col min="4373" max="4373" width="15.5703125" customWidth="1"/>
    <col min="4608" max="4608" width="11.28515625" bestFit="1" customWidth="1"/>
    <col min="4609" max="4609" width="10.28515625" bestFit="1" customWidth="1"/>
    <col min="4610" max="4610" width="1.140625" customWidth="1"/>
    <col min="4612" max="4613" width="10.28515625" customWidth="1"/>
    <col min="4615" max="4615" width="8.42578125" customWidth="1"/>
    <col min="4616" max="4616" width="9.28515625" bestFit="1" customWidth="1"/>
    <col min="4617" max="4617" width="7.85546875" customWidth="1"/>
    <col min="4618" max="4620" width="9.85546875" customWidth="1"/>
    <col min="4622" max="4623" width="9.85546875" customWidth="1"/>
    <col min="4628" max="4628" width="15.85546875" bestFit="1" customWidth="1"/>
    <col min="4629" max="4629" width="15.5703125" customWidth="1"/>
    <col min="4864" max="4864" width="11.28515625" bestFit="1" customWidth="1"/>
    <col min="4865" max="4865" width="10.28515625" bestFit="1" customWidth="1"/>
    <col min="4866" max="4866" width="1.140625" customWidth="1"/>
    <col min="4868" max="4869" width="10.28515625" customWidth="1"/>
    <col min="4871" max="4871" width="8.42578125" customWidth="1"/>
    <col min="4872" max="4872" width="9.28515625" bestFit="1" customWidth="1"/>
    <col min="4873" max="4873" width="7.85546875" customWidth="1"/>
    <col min="4874" max="4876" width="9.85546875" customWidth="1"/>
    <col min="4878" max="4879" width="9.85546875" customWidth="1"/>
    <col min="4884" max="4884" width="15.85546875" bestFit="1" customWidth="1"/>
    <col min="4885" max="4885" width="15.5703125" customWidth="1"/>
    <col min="5120" max="5120" width="11.28515625" bestFit="1" customWidth="1"/>
    <col min="5121" max="5121" width="10.28515625" bestFit="1" customWidth="1"/>
    <col min="5122" max="5122" width="1.140625" customWidth="1"/>
    <col min="5124" max="5125" width="10.28515625" customWidth="1"/>
    <col min="5127" max="5127" width="8.42578125" customWidth="1"/>
    <col min="5128" max="5128" width="9.28515625" bestFit="1" customWidth="1"/>
    <col min="5129" max="5129" width="7.85546875" customWidth="1"/>
    <col min="5130" max="5132" width="9.85546875" customWidth="1"/>
    <col min="5134" max="5135" width="9.85546875" customWidth="1"/>
    <col min="5140" max="5140" width="15.85546875" bestFit="1" customWidth="1"/>
    <col min="5141" max="5141" width="15.5703125" customWidth="1"/>
    <col min="5376" max="5376" width="11.28515625" bestFit="1" customWidth="1"/>
    <col min="5377" max="5377" width="10.28515625" bestFit="1" customWidth="1"/>
    <col min="5378" max="5378" width="1.140625" customWidth="1"/>
    <col min="5380" max="5381" width="10.28515625" customWidth="1"/>
    <col min="5383" max="5383" width="8.42578125" customWidth="1"/>
    <col min="5384" max="5384" width="9.28515625" bestFit="1" customWidth="1"/>
    <col min="5385" max="5385" width="7.85546875" customWidth="1"/>
    <col min="5386" max="5388" width="9.85546875" customWidth="1"/>
    <col min="5390" max="5391" width="9.85546875" customWidth="1"/>
    <col min="5396" max="5396" width="15.85546875" bestFit="1" customWidth="1"/>
    <col min="5397" max="5397" width="15.5703125" customWidth="1"/>
    <col min="5632" max="5632" width="11.28515625" bestFit="1" customWidth="1"/>
    <col min="5633" max="5633" width="10.28515625" bestFit="1" customWidth="1"/>
    <col min="5634" max="5634" width="1.140625" customWidth="1"/>
    <col min="5636" max="5637" width="10.28515625" customWidth="1"/>
    <col min="5639" max="5639" width="8.42578125" customWidth="1"/>
    <col min="5640" max="5640" width="9.28515625" bestFit="1" customWidth="1"/>
    <col min="5641" max="5641" width="7.85546875" customWidth="1"/>
    <col min="5642" max="5644" width="9.85546875" customWidth="1"/>
    <col min="5646" max="5647" width="9.85546875" customWidth="1"/>
    <col min="5652" max="5652" width="15.85546875" bestFit="1" customWidth="1"/>
    <col min="5653" max="5653" width="15.5703125" customWidth="1"/>
    <col min="5888" max="5888" width="11.28515625" bestFit="1" customWidth="1"/>
    <col min="5889" max="5889" width="10.28515625" bestFit="1" customWidth="1"/>
    <col min="5890" max="5890" width="1.140625" customWidth="1"/>
    <col min="5892" max="5893" width="10.28515625" customWidth="1"/>
    <col min="5895" max="5895" width="8.42578125" customWidth="1"/>
    <col min="5896" max="5896" width="9.28515625" bestFit="1" customWidth="1"/>
    <col min="5897" max="5897" width="7.85546875" customWidth="1"/>
    <col min="5898" max="5900" width="9.85546875" customWidth="1"/>
    <col min="5902" max="5903" width="9.85546875" customWidth="1"/>
    <col min="5908" max="5908" width="15.85546875" bestFit="1" customWidth="1"/>
    <col min="5909" max="5909" width="15.5703125" customWidth="1"/>
    <col min="6144" max="6144" width="11.28515625" bestFit="1" customWidth="1"/>
    <col min="6145" max="6145" width="10.28515625" bestFit="1" customWidth="1"/>
    <col min="6146" max="6146" width="1.140625" customWidth="1"/>
    <col min="6148" max="6149" width="10.28515625" customWidth="1"/>
    <col min="6151" max="6151" width="8.42578125" customWidth="1"/>
    <col min="6152" max="6152" width="9.28515625" bestFit="1" customWidth="1"/>
    <col min="6153" max="6153" width="7.85546875" customWidth="1"/>
    <col min="6154" max="6156" width="9.85546875" customWidth="1"/>
    <col min="6158" max="6159" width="9.85546875" customWidth="1"/>
    <col min="6164" max="6164" width="15.85546875" bestFit="1" customWidth="1"/>
    <col min="6165" max="6165" width="15.5703125" customWidth="1"/>
    <col min="6400" max="6400" width="11.28515625" bestFit="1" customWidth="1"/>
    <col min="6401" max="6401" width="10.28515625" bestFit="1" customWidth="1"/>
    <col min="6402" max="6402" width="1.140625" customWidth="1"/>
    <col min="6404" max="6405" width="10.28515625" customWidth="1"/>
    <col min="6407" max="6407" width="8.42578125" customWidth="1"/>
    <col min="6408" max="6408" width="9.28515625" bestFit="1" customWidth="1"/>
    <col min="6409" max="6409" width="7.85546875" customWidth="1"/>
    <col min="6410" max="6412" width="9.85546875" customWidth="1"/>
    <col min="6414" max="6415" width="9.85546875" customWidth="1"/>
    <col min="6420" max="6420" width="15.85546875" bestFit="1" customWidth="1"/>
    <col min="6421" max="6421" width="15.5703125" customWidth="1"/>
    <col min="6656" max="6656" width="11.28515625" bestFit="1" customWidth="1"/>
    <col min="6657" max="6657" width="10.28515625" bestFit="1" customWidth="1"/>
    <col min="6658" max="6658" width="1.140625" customWidth="1"/>
    <col min="6660" max="6661" width="10.28515625" customWidth="1"/>
    <col min="6663" max="6663" width="8.42578125" customWidth="1"/>
    <col min="6664" max="6664" width="9.28515625" bestFit="1" customWidth="1"/>
    <col min="6665" max="6665" width="7.85546875" customWidth="1"/>
    <col min="6666" max="6668" width="9.85546875" customWidth="1"/>
    <col min="6670" max="6671" width="9.85546875" customWidth="1"/>
    <col min="6676" max="6676" width="15.85546875" bestFit="1" customWidth="1"/>
    <col min="6677" max="6677" width="15.5703125" customWidth="1"/>
    <col min="6912" max="6912" width="11.28515625" bestFit="1" customWidth="1"/>
    <col min="6913" max="6913" width="10.28515625" bestFit="1" customWidth="1"/>
    <col min="6914" max="6914" width="1.140625" customWidth="1"/>
    <col min="6916" max="6917" width="10.28515625" customWidth="1"/>
    <col min="6919" max="6919" width="8.42578125" customWidth="1"/>
    <col min="6920" max="6920" width="9.28515625" bestFit="1" customWidth="1"/>
    <col min="6921" max="6921" width="7.85546875" customWidth="1"/>
    <col min="6922" max="6924" width="9.85546875" customWidth="1"/>
    <col min="6926" max="6927" width="9.85546875" customWidth="1"/>
    <col min="6932" max="6932" width="15.85546875" bestFit="1" customWidth="1"/>
    <col min="6933" max="6933" width="15.5703125" customWidth="1"/>
    <col min="7168" max="7168" width="11.28515625" bestFit="1" customWidth="1"/>
    <col min="7169" max="7169" width="10.28515625" bestFit="1" customWidth="1"/>
    <col min="7170" max="7170" width="1.140625" customWidth="1"/>
    <col min="7172" max="7173" width="10.28515625" customWidth="1"/>
    <col min="7175" max="7175" width="8.42578125" customWidth="1"/>
    <col min="7176" max="7176" width="9.28515625" bestFit="1" customWidth="1"/>
    <col min="7177" max="7177" width="7.85546875" customWidth="1"/>
    <col min="7178" max="7180" width="9.85546875" customWidth="1"/>
    <col min="7182" max="7183" width="9.85546875" customWidth="1"/>
    <col min="7188" max="7188" width="15.85546875" bestFit="1" customWidth="1"/>
    <col min="7189" max="7189" width="15.5703125" customWidth="1"/>
    <col min="7424" max="7424" width="11.28515625" bestFit="1" customWidth="1"/>
    <col min="7425" max="7425" width="10.28515625" bestFit="1" customWidth="1"/>
    <col min="7426" max="7426" width="1.140625" customWidth="1"/>
    <col min="7428" max="7429" width="10.28515625" customWidth="1"/>
    <col min="7431" max="7431" width="8.42578125" customWidth="1"/>
    <col min="7432" max="7432" width="9.28515625" bestFit="1" customWidth="1"/>
    <col min="7433" max="7433" width="7.85546875" customWidth="1"/>
    <col min="7434" max="7436" width="9.85546875" customWidth="1"/>
    <col min="7438" max="7439" width="9.85546875" customWidth="1"/>
    <col min="7444" max="7444" width="15.85546875" bestFit="1" customWidth="1"/>
    <col min="7445" max="7445" width="15.5703125" customWidth="1"/>
    <col min="7680" max="7680" width="11.28515625" bestFit="1" customWidth="1"/>
    <col min="7681" max="7681" width="10.28515625" bestFit="1" customWidth="1"/>
    <col min="7682" max="7682" width="1.140625" customWidth="1"/>
    <col min="7684" max="7685" width="10.28515625" customWidth="1"/>
    <col min="7687" max="7687" width="8.42578125" customWidth="1"/>
    <col min="7688" max="7688" width="9.28515625" bestFit="1" customWidth="1"/>
    <col min="7689" max="7689" width="7.85546875" customWidth="1"/>
    <col min="7690" max="7692" width="9.85546875" customWidth="1"/>
    <col min="7694" max="7695" width="9.85546875" customWidth="1"/>
    <col min="7700" max="7700" width="15.85546875" bestFit="1" customWidth="1"/>
    <col min="7701" max="7701" width="15.5703125" customWidth="1"/>
    <col min="7936" max="7936" width="11.28515625" bestFit="1" customWidth="1"/>
    <col min="7937" max="7937" width="10.28515625" bestFit="1" customWidth="1"/>
    <col min="7938" max="7938" width="1.140625" customWidth="1"/>
    <col min="7940" max="7941" width="10.28515625" customWidth="1"/>
    <col min="7943" max="7943" width="8.42578125" customWidth="1"/>
    <col min="7944" max="7944" width="9.28515625" bestFit="1" customWidth="1"/>
    <col min="7945" max="7945" width="7.85546875" customWidth="1"/>
    <col min="7946" max="7948" width="9.85546875" customWidth="1"/>
    <col min="7950" max="7951" width="9.85546875" customWidth="1"/>
    <col min="7956" max="7956" width="15.85546875" bestFit="1" customWidth="1"/>
    <col min="7957" max="7957" width="15.5703125" customWidth="1"/>
    <col min="8192" max="8192" width="11.28515625" bestFit="1" customWidth="1"/>
    <col min="8193" max="8193" width="10.28515625" bestFit="1" customWidth="1"/>
    <col min="8194" max="8194" width="1.140625" customWidth="1"/>
    <col min="8196" max="8197" width="10.28515625" customWidth="1"/>
    <col min="8199" max="8199" width="8.42578125" customWidth="1"/>
    <col min="8200" max="8200" width="9.28515625" bestFit="1" customWidth="1"/>
    <col min="8201" max="8201" width="7.85546875" customWidth="1"/>
    <col min="8202" max="8204" width="9.85546875" customWidth="1"/>
    <col min="8206" max="8207" width="9.85546875" customWidth="1"/>
    <col min="8212" max="8212" width="15.85546875" bestFit="1" customWidth="1"/>
    <col min="8213" max="8213" width="15.5703125" customWidth="1"/>
    <col min="8448" max="8448" width="11.28515625" bestFit="1" customWidth="1"/>
    <col min="8449" max="8449" width="10.28515625" bestFit="1" customWidth="1"/>
    <col min="8450" max="8450" width="1.140625" customWidth="1"/>
    <col min="8452" max="8453" width="10.28515625" customWidth="1"/>
    <col min="8455" max="8455" width="8.42578125" customWidth="1"/>
    <col min="8456" max="8456" width="9.28515625" bestFit="1" customWidth="1"/>
    <col min="8457" max="8457" width="7.85546875" customWidth="1"/>
    <col min="8458" max="8460" width="9.85546875" customWidth="1"/>
    <col min="8462" max="8463" width="9.85546875" customWidth="1"/>
    <col min="8468" max="8468" width="15.85546875" bestFit="1" customWidth="1"/>
    <col min="8469" max="8469" width="15.5703125" customWidth="1"/>
    <col min="8704" max="8704" width="11.28515625" bestFit="1" customWidth="1"/>
    <col min="8705" max="8705" width="10.28515625" bestFit="1" customWidth="1"/>
    <col min="8706" max="8706" width="1.140625" customWidth="1"/>
    <col min="8708" max="8709" width="10.28515625" customWidth="1"/>
    <col min="8711" max="8711" width="8.42578125" customWidth="1"/>
    <col min="8712" max="8712" width="9.28515625" bestFit="1" customWidth="1"/>
    <col min="8713" max="8713" width="7.85546875" customWidth="1"/>
    <col min="8714" max="8716" width="9.85546875" customWidth="1"/>
    <col min="8718" max="8719" width="9.85546875" customWidth="1"/>
    <col min="8724" max="8724" width="15.85546875" bestFit="1" customWidth="1"/>
    <col min="8725" max="8725" width="15.5703125" customWidth="1"/>
    <col min="8960" max="8960" width="11.28515625" bestFit="1" customWidth="1"/>
    <col min="8961" max="8961" width="10.28515625" bestFit="1" customWidth="1"/>
    <col min="8962" max="8962" width="1.140625" customWidth="1"/>
    <col min="8964" max="8965" width="10.28515625" customWidth="1"/>
    <col min="8967" max="8967" width="8.42578125" customWidth="1"/>
    <col min="8968" max="8968" width="9.28515625" bestFit="1" customWidth="1"/>
    <col min="8969" max="8969" width="7.85546875" customWidth="1"/>
    <col min="8970" max="8972" width="9.85546875" customWidth="1"/>
    <col min="8974" max="8975" width="9.85546875" customWidth="1"/>
    <col min="8980" max="8980" width="15.85546875" bestFit="1" customWidth="1"/>
    <col min="8981" max="8981" width="15.5703125" customWidth="1"/>
    <col min="9216" max="9216" width="11.28515625" bestFit="1" customWidth="1"/>
    <col min="9217" max="9217" width="10.28515625" bestFit="1" customWidth="1"/>
    <col min="9218" max="9218" width="1.140625" customWidth="1"/>
    <col min="9220" max="9221" width="10.28515625" customWidth="1"/>
    <col min="9223" max="9223" width="8.42578125" customWidth="1"/>
    <col min="9224" max="9224" width="9.28515625" bestFit="1" customWidth="1"/>
    <col min="9225" max="9225" width="7.85546875" customWidth="1"/>
    <col min="9226" max="9228" width="9.85546875" customWidth="1"/>
    <col min="9230" max="9231" width="9.85546875" customWidth="1"/>
    <col min="9236" max="9236" width="15.85546875" bestFit="1" customWidth="1"/>
    <col min="9237" max="9237" width="15.5703125" customWidth="1"/>
    <col min="9472" max="9472" width="11.28515625" bestFit="1" customWidth="1"/>
    <col min="9473" max="9473" width="10.28515625" bestFit="1" customWidth="1"/>
    <col min="9474" max="9474" width="1.140625" customWidth="1"/>
    <col min="9476" max="9477" width="10.28515625" customWidth="1"/>
    <col min="9479" max="9479" width="8.42578125" customWidth="1"/>
    <col min="9480" max="9480" width="9.28515625" bestFit="1" customWidth="1"/>
    <col min="9481" max="9481" width="7.85546875" customWidth="1"/>
    <col min="9482" max="9484" width="9.85546875" customWidth="1"/>
    <col min="9486" max="9487" width="9.85546875" customWidth="1"/>
    <col min="9492" max="9492" width="15.85546875" bestFit="1" customWidth="1"/>
    <col min="9493" max="9493" width="15.5703125" customWidth="1"/>
    <col min="9728" max="9728" width="11.28515625" bestFit="1" customWidth="1"/>
    <col min="9729" max="9729" width="10.28515625" bestFit="1" customWidth="1"/>
    <col min="9730" max="9730" width="1.140625" customWidth="1"/>
    <col min="9732" max="9733" width="10.28515625" customWidth="1"/>
    <col min="9735" max="9735" width="8.42578125" customWidth="1"/>
    <col min="9736" max="9736" width="9.28515625" bestFit="1" customWidth="1"/>
    <col min="9737" max="9737" width="7.85546875" customWidth="1"/>
    <col min="9738" max="9740" width="9.85546875" customWidth="1"/>
    <col min="9742" max="9743" width="9.85546875" customWidth="1"/>
    <col min="9748" max="9748" width="15.85546875" bestFit="1" customWidth="1"/>
    <col min="9749" max="9749" width="15.5703125" customWidth="1"/>
    <col min="9984" max="9984" width="11.28515625" bestFit="1" customWidth="1"/>
    <col min="9985" max="9985" width="10.28515625" bestFit="1" customWidth="1"/>
    <col min="9986" max="9986" width="1.140625" customWidth="1"/>
    <col min="9988" max="9989" width="10.28515625" customWidth="1"/>
    <col min="9991" max="9991" width="8.42578125" customWidth="1"/>
    <col min="9992" max="9992" width="9.28515625" bestFit="1" customWidth="1"/>
    <col min="9993" max="9993" width="7.85546875" customWidth="1"/>
    <col min="9994" max="9996" width="9.85546875" customWidth="1"/>
    <col min="9998" max="9999" width="9.85546875" customWidth="1"/>
    <col min="10004" max="10004" width="15.85546875" bestFit="1" customWidth="1"/>
    <col min="10005" max="10005" width="15.5703125" customWidth="1"/>
    <col min="10240" max="10240" width="11.28515625" bestFit="1" customWidth="1"/>
    <col min="10241" max="10241" width="10.28515625" bestFit="1" customWidth="1"/>
    <col min="10242" max="10242" width="1.140625" customWidth="1"/>
    <col min="10244" max="10245" width="10.28515625" customWidth="1"/>
    <col min="10247" max="10247" width="8.42578125" customWidth="1"/>
    <col min="10248" max="10248" width="9.28515625" bestFit="1" customWidth="1"/>
    <col min="10249" max="10249" width="7.85546875" customWidth="1"/>
    <col min="10250" max="10252" width="9.85546875" customWidth="1"/>
    <col min="10254" max="10255" width="9.85546875" customWidth="1"/>
    <col min="10260" max="10260" width="15.85546875" bestFit="1" customWidth="1"/>
    <col min="10261" max="10261" width="15.5703125" customWidth="1"/>
    <col min="10496" max="10496" width="11.28515625" bestFit="1" customWidth="1"/>
    <col min="10497" max="10497" width="10.28515625" bestFit="1" customWidth="1"/>
    <col min="10498" max="10498" width="1.140625" customWidth="1"/>
    <col min="10500" max="10501" width="10.28515625" customWidth="1"/>
    <col min="10503" max="10503" width="8.42578125" customWidth="1"/>
    <col min="10504" max="10504" width="9.28515625" bestFit="1" customWidth="1"/>
    <col min="10505" max="10505" width="7.85546875" customWidth="1"/>
    <col min="10506" max="10508" width="9.85546875" customWidth="1"/>
    <col min="10510" max="10511" width="9.85546875" customWidth="1"/>
    <col min="10516" max="10516" width="15.85546875" bestFit="1" customWidth="1"/>
    <col min="10517" max="10517" width="15.5703125" customWidth="1"/>
    <col min="10752" max="10752" width="11.28515625" bestFit="1" customWidth="1"/>
    <col min="10753" max="10753" width="10.28515625" bestFit="1" customWidth="1"/>
    <col min="10754" max="10754" width="1.140625" customWidth="1"/>
    <col min="10756" max="10757" width="10.28515625" customWidth="1"/>
    <col min="10759" max="10759" width="8.42578125" customWidth="1"/>
    <col min="10760" max="10760" width="9.28515625" bestFit="1" customWidth="1"/>
    <col min="10761" max="10761" width="7.85546875" customWidth="1"/>
    <col min="10762" max="10764" width="9.85546875" customWidth="1"/>
    <col min="10766" max="10767" width="9.85546875" customWidth="1"/>
    <col min="10772" max="10772" width="15.85546875" bestFit="1" customWidth="1"/>
    <col min="10773" max="10773" width="15.5703125" customWidth="1"/>
    <col min="11008" max="11008" width="11.28515625" bestFit="1" customWidth="1"/>
    <col min="11009" max="11009" width="10.28515625" bestFit="1" customWidth="1"/>
    <col min="11010" max="11010" width="1.140625" customWidth="1"/>
    <col min="11012" max="11013" width="10.28515625" customWidth="1"/>
    <col min="11015" max="11015" width="8.42578125" customWidth="1"/>
    <col min="11016" max="11016" width="9.28515625" bestFit="1" customWidth="1"/>
    <col min="11017" max="11017" width="7.85546875" customWidth="1"/>
    <col min="11018" max="11020" width="9.85546875" customWidth="1"/>
    <col min="11022" max="11023" width="9.85546875" customWidth="1"/>
    <col min="11028" max="11028" width="15.85546875" bestFit="1" customWidth="1"/>
    <col min="11029" max="11029" width="15.5703125" customWidth="1"/>
    <col min="11264" max="11264" width="11.28515625" bestFit="1" customWidth="1"/>
    <col min="11265" max="11265" width="10.28515625" bestFit="1" customWidth="1"/>
    <col min="11266" max="11266" width="1.140625" customWidth="1"/>
    <col min="11268" max="11269" width="10.28515625" customWidth="1"/>
    <col min="11271" max="11271" width="8.42578125" customWidth="1"/>
    <col min="11272" max="11272" width="9.28515625" bestFit="1" customWidth="1"/>
    <col min="11273" max="11273" width="7.85546875" customWidth="1"/>
    <col min="11274" max="11276" width="9.85546875" customWidth="1"/>
    <col min="11278" max="11279" width="9.85546875" customWidth="1"/>
    <col min="11284" max="11284" width="15.85546875" bestFit="1" customWidth="1"/>
    <col min="11285" max="11285" width="15.5703125" customWidth="1"/>
    <col min="11520" max="11520" width="11.28515625" bestFit="1" customWidth="1"/>
    <col min="11521" max="11521" width="10.28515625" bestFit="1" customWidth="1"/>
    <col min="11522" max="11522" width="1.140625" customWidth="1"/>
    <col min="11524" max="11525" width="10.28515625" customWidth="1"/>
    <col min="11527" max="11527" width="8.42578125" customWidth="1"/>
    <col min="11528" max="11528" width="9.28515625" bestFit="1" customWidth="1"/>
    <col min="11529" max="11529" width="7.85546875" customWidth="1"/>
    <col min="11530" max="11532" width="9.85546875" customWidth="1"/>
    <col min="11534" max="11535" width="9.85546875" customWidth="1"/>
    <col min="11540" max="11540" width="15.85546875" bestFit="1" customWidth="1"/>
    <col min="11541" max="11541" width="15.5703125" customWidth="1"/>
    <col min="11776" max="11776" width="11.28515625" bestFit="1" customWidth="1"/>
    <col min="11777" max="11777" width="10.28515625" bestFit="1" customWidth="1"/>
    <col min="11778" max="11778" width="1.140625" customWidth="1"/>
    <col min="11780" max="11781" width="10.28515625" customWidth="1"/>
    <col min="11783" max="11783" width="8.42578125" customWidth="1"/>
    <col min="11784" max="11784" width="9.28515625" bestFit="1" customWidth="1"/>
    <col min="11785" max="11785" width="7.85546875" customWidth="1"/>
    <col min="11786" max="11788" width="9.85546875" customWidth="1"/>
    <col min="11790" max="11791" width="9.85546875" customWidth="1"/>
    <col min="11796" max="11796" width="15.85546875" bestFit="1" customWidth="1"/>
    <col min="11797" max="11797" width="15.5703125" customWidth="1"/>
    <col min="12032" max="12032" width="11.28515625" bestFit="1" customWidth="1"/>
    <col min="12033" max="12033" width="10.28515625" bestFit="1" customWidth="1"/>
    <col min="12034" max="12034" width="1.140625" customWidth="1"/>
    <col min="12036" max="12037" width="10.28515625" customWidth="1"/>
    <col min="12039" max="12039" width="8.42578125" customWidth="1"/>
    <col min="12040" max="12040" width="9.28515625" bestFit="1" customWidth="1"/>
    <col min="12041" max="12041" width="7.85546875" customWidth="1"/>
    <col min="12042" max="12044" width="9.85546875" customWidth="1"/>
    <col min="12046" max="12047" width="9.85546875" customWidth="1"/>
    <col min="12052" max="12052" width="15.85546875" bestFit="1" customWidth="1"/>
    <col min="12053" max="12053" width="15.5703125" customWidth="1"/>
    <col min="12288" max="12288" width="11.28515625" bestFit="1" customWidth="1"/>
    <col min="12289" max="12289" width="10.28515625" bestFit="1" customWidth="1"/>
    <col min="12290" max="12290" width="1.140625" customWidth="1"/>
    <col min="12292" max="12293" width="10.28515625" customWidth="1"/>
    <col min="12295" max="12295" width="8.42578125" customWidth="1"/>
    <col min="12296" max="12296" width="9.28515625" bestFit="1" customWidth="1"/>
    <col min="12297" max="12297" width="7.85546875" customWidth="1"/>
    <col min="12298" max="12300" width="9.85546875" customWidth="1"/>
    <col min="12302" max="12303" width="9.85546875" customWidth="1"/>
    <col min="12308" max="12308" width="15.85546875" bestFit="1" customWidth="1"/>
    <col min="12309" max="12309" width="15.5703125" customWidth="1"/>
    <col min="12544" max="12544" width="11.28515625" bestFit="1" customWidth="1"/>
    <col min="12545" max="12545" width="10.28515625" bestFit="1" customWidth="1"/>
    <col min="12546" max="12546" width="1.140625" customWidth="1"/>
    <col min="12548" max="12549" width="10.28515625" customWidth="1"/>
    <col min="12551" max="12551" width="8.42578125" customWidth="1"/>
    <col min="12552" max="12552" width="9.28515625" bestFit="1" customWidth="1"/>
    <col min="12553" max="12553" width="7.85546875" customWidth="1"/>
    <col min="12554" max="12556" width="9.85546875" customWidth="1"/>
    <col min="12558" max="12559" width="9.85546875" customWidth="1"/>
    <col min="12564" max="12564" width="15.85546875" bestFit="1" customWidth="1"/>
    <col min="12565" max="12565" width="15.5703125" customWidth="1"/>
    <col min="12800" max="12800" width="11.28515625" bestFit="1" customWidth="1"/>
    <col min="12801" max="12801" width="10.28515625" bestFit="1" customWidth="1"/>
    <col min="12802" max="12802" width="1.140625" customWidth="1"/>
    <col min="12804" max="12805" width="10.28515625" customWidth="1"/>
    <col min="12807" max="12807" width="8.42578125" customWidth="1"/>
    <col min="12808" max="12808" width="9.28515625" bestFit="1" customWidth="1"/>
    <col min="12809" max="12809" width="7.85546875" customWidth="1"/>
    <col min="12810" max="12812" width="9.85546875" customWidth="1"/>
    <col min="12814" max="12815" width="9.85546875" customWidth="1"/>
    <col min="12820" max="12820" width="15.85546875" bestFit="1" customWidth="1"/>
    <col min="12821" max="12821" width="15.5703125" customWidth="1"/>
    <col min="13056" max="13056" width="11.28515625" bestFit="1" customWidth="1"/>
    <col min="13057" max="13057" width="10.28515625" bestFit="1" customWidth="1"/>
    <col min="13058" max="13058" width="1.140625" customWidth="1"/>
    <col min="13060" max="13061" width="10.28515625" customWidth="1"/>
    <col min="13063" max="13063" width="8.42578125" customWidth="1"/>
    <col min="13064" max="13064" width="9.28515625" bestFit="1" customWidth="1"/>
    <col min="13065" max="13065" width="7.85546875" customWidth="1"/>
    <col min="13066" max="13068" width="9.85546875" customWidth="1"/>
    <col min="13070" max="13071" width="9.85546875" customWidth="1"/>
    <col min="13076" max="13076" width="15.85546875" bestFit="1" customWidth="1"/>
    <col min="13077" max="13077" width="15.5703125" customWidth="1"/>
    <col min="13312" max="13312" width="11.28515625" bestFit="1" customWidth="1"/>
    <col min="13313" max="13313" width="10.28515625" bestFit="1" customWidth="1"/>
    <col min="13314" max="13314" width="1.140625" customWidth="1"/>
    <col min="13316" max="13317" width="10.28515625" customWidth="1"/>
    <col min="13319" max="13319" width="8.42578125" customWidth="1"/>
    <col min="13320" max="13320" width="9.28515625" bestFit="1" customWidth="1"/>
    <col min="13321" max="13321" width="7.85546875" customWidth="1"/>
    <col min="13322" max="13324" width="9.85546875" customWidth="1"/>
    <col min="13326" max="13327" width="9.85546875" customWidth="1"/>
    <col min="13332" max="13332" width="15.85546875" bestFit="1" customWidth="1"/>
    <col min="13333" max="13333" width="15.5703125" customWidth="1"/>
    <col min="13568" max="13568" width="11.28515625" bestFit="1" customWidth="1"/>
    <col min="13569" max="13569" width="10.28515625" bestFit="1" customWidth="1"/>
    <col min="13570" max="13570" width="1.140625" customWidth="1"/>
    <col min="13572" max="13573" width="10.28515625" customWidth="1"/>
    <col min="13575" max="13575" width="8.42578125" customWidth="1"/>
    <col min="13576" max="13576" width="9.28515625" bestFit="1" customWidth="1"/>
    <col min="13577" max="13577" width="7.85546875" customWidth="1"/>
    <col min="13578" max="13580" width="9.85546875" customWidth="1"/>
    <col min="13582" max="13583" width="9.85546875" customWidth="1"/>
    <col min="13588" max="13588" width="15.85546875" bestFit="1" customWidth="1"/>
    <col min="13589" max="13589" width="15.5703125" customWidth="1"/>
    <col min="13824" max="13824" width="11.28515625" bestFit="1" customWidth="1"/>
    <col min="13825" max="13825" width="10.28515625" bestFit="1" customWidth="1"/>
    <col min="13826" max="13826" width="1.140625" customWidth="1"/>
    <col min="13828" max="13829" width="10.28515625" customWidth="1"/>
    <col min="13831" max="13831" width="8.42578125" customWidth="1"/>
    <col min="13832" max="13832" width="9.28515625" bestFit="1" customWidth="1"/>
    <col min="13833" max="13833" width="7.85546875" customWidth="1"/>
    <col min="13834" max="13836" width="9.85546875" customWidth="1"/>
    <col min="13838" max="13839" width="9.85546875" customWidth="1"/>
    <col min="13844" max="13844" width="15.85546875" bestFit="1" customWidth="1"/>
    <col min="13845" max="13845" width="15.5703125" customWidth="1"/>
    <col min="14080" max="14080" width="11.28515625" bestFit="1" customWidth="1"/>
    <col min="14081" max="14081" width="10.28515625" bestFit="1" customWidth="1"/>
    <col min="14082" max="14082" width="1.140625" customWidth="1"/>
    <col min="14084" max="14085" width="10.28515625" customWidth="1"/>
    <col min="14087" max="14087" width="8.42578125" customWidth="1"/>
    <col min="14088" max="14088" width="9.28515625" bestFit="1" customWidth="1"/>
    <col min="14089" max="14089" width="7.85546875" customWidth="1"/>
    <col min="14090" max="14092" width="9.85546875" customWidth="1"/>
    <col min="14094" max="14095" width="9.85546875" customWidth="1"/>
    <col min="14100" max="14100" width="15.85546875" bestFit="1" customWidth="1"/>
    <col min="14101" max="14101" width="15.5703125" customWidth="1"/>
    <col min="14336" max="14336" width="11.28515625" bestFit="1" customWidth="1"/>
    <col min="14337" max="14337" width="10.28515625" bestFit="1" customWidth="1"/>
    <col min="14338" max="14338" width="1.140625" customWidth="1"/>
    <col min="14340" max="14341" width="10.28515625" customWidth="1"/>
    <col min="14343" max="14343" width="8.42578125" customWidth="1"/>
    <col min="14344" max="14344" width="9.28515625" bestFit="1" customWidth="1"/>
    <col min="14345" max="14345" width="7.85546875" customWidth="1"/>
    <col min="14346" max="14348" width="9.85546875" customWidth="1"/>
    <col min="14350" max="14351" width="9.85546875" customWidth="1"/>
    <col min="14356" max="14356" width="15.85546875" bestFit="1" customWidth="1"/>
    <col min="14357" max="14357" width="15.5703125" customWidth="1"/>
    <col min="14592" max="14592" width="11.28515625" bestFit="1" customWidth="1"/>
    <col min="14593" max="14593" width="10.28515625" bestFit="1" customWidth="1"/>
    <col min="14594" max="14594" width="1.140625" customWidth="1"/>
    <col min="14596" max="14597" width="10.28515625" customWidth="1"/>
    <col min="14599" max="14599" width="8.42578125" customWidth="1"/>
    <col min="14600" max="14600" width="9.28515625" bestFit="1" customWidth="1"/>
    <col min="14601" max="14601" width="7.85546875" customWidth="1"/>
    <col min="14602" max="14604" width="9.85546875" customWidth="1"/>
    <col min="14606" max="14607" width="9.85546875" customWidth="1"/>
    <col min="14612" max="14612" width="15.85546875" bestFit="1" customWidth="1"/>
    <col min="14613" max="14613" width="15.5703125" customWidth="1"/>
    <col min="14848" max="14848" width="11.28515625" bestFit="1" customWidth="1"/>
    <col min="14849" max="14849" width="10.28515625" bestFit="1" customWidth="1"/>
    <col min="14850" max="14850" width="1.140625" customWidth="1"/>
    <col min="14852" max="14853" width="10.28515625" customWidth="1"/>
    <col min="14855" max="14855" width="8.42578125" customWidth="1"/>
    <col min="14856" max="14856" width="9.28515625" bestFit="1" customWidth="1"/>
    <col min="14857" max="14857" width="7.85546875" customWidth="1"/>
    <col min="14858" max="14860" width="9.85546875" customWidth="1"/>
    <col min="14862" max="14863" width="9.85546875" customWidth="1"/>
    <col min="14868" max="14868" width="15.85546875" bestFit="1" customWidth="1"/>
    <col min="14869" max="14869" width="15.5703125" customWidth="1"/>
    <col min="15104" max="15104" width="11.28515625" bestFit="1" customWidth="1"/>
    <col min="15105" max="15105" width="10.28515625" bestFit="1" customWidth="1"/>
    <col min="15106" max="15106" width="1.140625" customWidth="1"/>
    <col min="15108" max="15109" width="10.28515625" customWidth="1"/>
    <col min="15111" max="15111" width="8.42578125" customWidth="1"/>
    <col min="15112" max="15112" width="9.28515625" bestFit="1" customWidth="1"/>
    <col min="15113" max="15113" width="7.85546875" customWidth="1"/>
    <col min="15114" max="15116" width="9.85546875" customWidth="1"/>
    <col min="15118" max="15119" width="9.85546875" customWidth="1"/>
    <col min="15124" max="15124" width="15.85546875" bestFit="1" customWidth="1"/>
    <col min="15125" max="15125" width="15.5703125" customWidth="1"/>
    <col min="15360" max="15360" width="11.28515625" bestFit="1" customWidth="1"/>
    <col min="15361" max="15361" width="10.28515625" bestFit="1" customWidth="1"/>
    <col min="15362" max="15362" width="1.140625" customWidth="1"/>
    <col min="15364" max="15365" width="10.28515625" customWidth="1"/>
    <col min="15367" max="15367" width="8.42578125" customWidth="1"/>
    <col min="15368" max="15368" width="9.28515625" bestFit="1" customWidth="1"/>
    <col min="15369" max="15369" width="7.85546875" customWidth="1"/>
    <col min="15370" max="15372" width="9.85546875" customWidth="1"/>
    <col min="15374" max="15375" width="9.85546875" customWidth="1"/>
    <col min="15380" max="15380" width="15.85546875" bestFit="1" customWidth="1"/>
    <col min="15381" max="15381" width="15.5703125" customWidth="1"/>
    <col min="15616" max="15616" width="11.28515625" bestFit="1" customWidth="1"/>
    <col min="15617" max="15617" width="10.28515625" bestFit="1" customWidth="1"/>
    <col min="15618" max="15618" width="1.140625" customWidth="1"/>
    <col min="15620" max="15621" width="10.28515625" customWidth="1"/>
    <col min="15623" max="15623" width="8.42578125" customWidth="1"/>
    <col min="15624" max="15624" width="9.28515625" bestFit="1" customWidth="1"/>
    <col min="15625" max="15625" width="7.85546875" customWidth="1"/>
    <col min="15626" max="15628" width="9.85546875" customWidth="1"/>
    <col min="15630" max="15631" width="9.85546875" customWidth="1"/>
    <col min="15636" max="15636" width="15.85546875" bestFit="1" customWidth="1"/>
    <col min="15637" max="15637" width="15.5703125" customWidth="1"/>
    <col min="15872" max="15872" width="11.28515625" bestFit="1" customWidth="1"/>
    <col min="15873" max="15873" width="10.28515625" bestFit="1" customWidth="1"/>
    <col min="15874" max="15874" width="1.140625" customWidth="1"/>
    <col min="15876" max="15877" width="10.28515625" customWidth="1"/>
    <col min="15879" max="15879" width="8.42578125" customWidth="1"/>
    <col min="15880" max="15880" width="9.28515625" bestFit="1" customWidth="1"/>
    <col min="15881" max="15881" width="7.85546875" customWidth="1"/>
    <col min="15882" max="15884" width="9.85546875" customWidth="1"/>
    <col min="15886" max="15887" width="9.85546875" customWidth="1"/>
    <col min="15892" max="15892" width="15.85546875" bestFit="1" customWidth="1"/>
    <col min="15893" max="15893" width="15.5703125" customWidth="1"/>
    <col min="16128" max="16128" width="11.28515625" bestFit="1" customWidth="1"/>
    <col min="16129" max="16129" width="10.28515625" bestFit="1" customWidth="1"/>
    <col min="16130" max="16130" width="1.140625" customWidth="1"/>
    <col min="16132" max="16133" width="10.28515625" customWidth="1"/>
    <col min="16135" max="16135" width="8.42578125" customWidth="1"/>
    <col min="16136" max="16136" width="9.28515625" bestFit="1" customWidth="1"/>
    <col min="16137" max="16137" width="7.85546875" customWidth="1"/>
    <col min="16138" max="16140" width="9.85546875" customWidth="1"/>
    <col min="16142" max="16143" width="9.85546875" customWidth="1"/>
    <col min="16148" max="16148" width="15.85546875" bestFit="1" customWidth="1"/>
    <col min="16149" max="16149" width="15.5703125" customWidth="1"/>
  </cols>
  <sheetData>
    <row r="2" spans="1:21" x14ac:dyDescent="0.25">
      <c r="B2" t="s">
        <v>19</v>
      </c>
    </row>
    <row r="3" spans="1:21" x14ac:dyDescent="0.25">
      <c r="B3" s="47" t="s">
        <v>20</v>
      </c>
      <c r="C3" s="47"/>
      <c r="D3" s="47"/>
      <c r="E3">
        <f>SUM(B17:B28)</f>
        <v>31262.281999999999</v>
      </c>
    </row>
    <row r="4" spans="1:21" x14ac:dyDescent="0.25">
      <c r="B4" s="47" t="s">
        <v>21</v>
      </c>
      <c r="C4" s="47"/>
      <c r="D4" s="47"/>
      <c r="E4">
        <f>SUM(C17:C28)</f>
        <v>30712</v>
      </c>
    </row>
    <row r="5" spans="1:21" x14ac:dyDescent="0.25">
      <c r="B5" s="47" t="s">
        <v>22</v>
      </c>
      <c r="C5" s="47"/>
      <c r="D5" s="47"/>
      <c r="E5">
        <f>SUMPRODUCT(C17:C28,O17:O28)*1000/10^5</f>
        <v>1488.7971</v>
      </c>
    </row>
    <row r="6" spans="1:21" x14ac:dyDescent="0.25">
      <c r="B6" s="47" t="s">
        <v>23</v>
      </c>
      <c r="C6" s="47"/>
      <c r="D6" s="47"/>
      <c r="E6" s="48">
        <f>SUMPRODUCT(B17:B28,N17:N28)*1000/10^5</f>
        <v>1533.074917012369</v>
      </c>
      <c r="G6" s="48"/>
    </row>
    <row r="7" spans="1:21" x14ac:dyDescent="0.25">
      <c r="B7" s="47" t="s">
        <v>24</v>
      </c>
      <c r="C7" s="47"/>
      <c r="D7" s="47"/>
      <c r="E7" s="48">
        <f>E6*10^5/E3</f>
        <v>4903.912379180666</v>
      </c>
      <c r="G7" s="48"/>
    </row>
    <row r="8" spans="1:21" x14ac:dyDescent="0.25">
      <c r="B8" s="47" t="s">
        <v>25</v>
      </c>
      <c r="C8" s="47"/>
      <c r="D8" s="47"/>
      <c r="E8" s="48">
        <f>E5*10^5/E4</f>
        <v>4847.6071242511071</v>
      </c>
      <c r="G8" s="48"/>
    </row>
    <row r="9" spans="1:21" x14ac:dyDescent="0.25">
      <c r="C9" s="48"/>
      <c r="E9">
        <f>(E7-E8)*E3</f>
        <v>1760230.7576897617</v>
      </c>
      <c r="G9" s="48"/>
    </row>
    <row r="10" spans="1:21" x14ac:dyDescent="0.25">
      <c r="C10" s="48"/>
      <c r="G10" s="48"/>
    </row>
    <row r="11" spans="1:21" x14ac:dyDescent="0.25">
      <c r="C11" s="48"/>
      <c r="G11" s="49"/>
    </row>
    <row r="12" spans="1:21" x14ac:dyDescent="0.25">
      <c r="F12" s="48"/>
      <c r="G12" s="49"/>
    </row>
    <row r="13" spans="1:21" x14ac:dyDescent="0.25">
      <c r="S13" s="50">
        <f>SUM(S23:S28)+S20</f>
        <v>4113655.3591300673</v>
      </c>
      <c r="T13" s="50">
        <f>SUM(T17:T28)</f>
        <v>1106389.9999999995</v>
      </c>
    </row>
    <row r="14" spans="1:21" x14ac:dyDescent="0.25">
      <c r="E14" s="51" t="s">
        <v>26</v>
      </c>
      <c r="F14" s="52"/>
      <c r="G14" s="51" t="s">
        <v>27</v>
      </c>
      <c r="H14" s="52"/>
      <c r="I14" s="51" t="s">
        <v>28</v>
      </c>
      <c r="J14" s="53"/>
      <c r="K14" s="52"/>
      <c r="M14" t="s">
        <v>29</v>
      </c>
      <c r="N14" t="s">
        <v>30</v>
      </c>
    </row>
    <row r="15" spans="1:21" ht="105" x14ac:dyDescent="0.25">
      <c r="A15" s="54" t="s">
        <v>6</v>
      </c>
      <c r="B15" s="55" t="s">
        <v>31</v>
      </c>
      <c r="C15" s="55" t="s">
        <v>32</v>
      </c>
      <c r="D15" s="55" t="s">
        <v>33</v>
      </c>
      <c r="E15" s="54" t="s">
        <v>34</v>
      </c>
      <c r="F15" s="54" t="s">
        <v>35</v>
      </c>
      <c r="G15" s="54" t="s">
        <v>34</v>
      </c>
      <c r="H15" s="54" t="s">
        <v>35</v>
      </c>
      <c r="I15" s="54" t="s">
        <v>34</v>
      </c>
      <c r="J15" s="54"/>
      <c r="K15" s="54" t="s">
        <v>35</v>
      </c>
      <c r="L15" s="54" t="s">
        <v>36</v>
      </c>
      <c r="M15" s="56" t="s">
        <v>37</v>
      </c>
      <c r="N15" s="56" t="s">
        <v>38</v>
      </c>
      <c r="O15" s="56" t="s">
        <v>39</v>
      </c>
      <c r="P15" s="56" t="s">
        <v>40</v>
      </c>
      <c r="Q15" s="57" t="s">
        <v>41</v>
      </c>
      <c r="R15" s="56" t="s">
        <v>40</v>
      </c>
      <c r="S15" s="57" t="s">
        <v>42</v>
      </c>
      <c r="T15" s="57" t="s">
        <v>43</v>
      </c>
      <c r="U15" s="57" t="s">
        <v>44</v>
      </c>
    </row>
    <row r="16" spans="1:21" x14ac:dyDescent="0.25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9"/>
      <c r="O16" s="31"/>
      <c r="P16" s="60"/>
      <c r="Q16" s="61"/>
      <c r="R16" s="61"/>
      <c r="S16" s="62"/>
      <c r="T16" s="62"/>
    </row>
    <row r="17" spans="1:24" x14ac:dyDescent="0.25">
      <c r="A17" s="63">
        <v>42795</v>
      </c>
      <c r="B17" s="58">
        <v>2585</v>
      </c>
      <c r="C17" s="58">
        <v>2713</v>
      </c>
      <c r="D17" s="64">
        <f t="shared" ref="D17:D27" si="0">C17-B16</f>
        <v>2713</v>
      </c>
      <c r="E17" s="65">
        <v>81.900000000000006</v>
      </c>
      <c r="F17" s="66">
        <f t="shared" ref="F17:F46" si="1">E17/E18-1</f>
        <v>-1.7042726836293709E-2</v>
      </c>
      <c r="G17" s="58">
        <v>60.42</v>
      </c>
      <c r="H17" s="66">
        <f t="shared" ref="H17:H47" si="2">G17/G18-1</f>
        <v>-1.4677103718199636E-2</v>
      </c>
      <c r="I17" s="58">
        <v>56.31</v>
      </c>
      <c r="J17" s="67">
        <f>I17/E17</f>
        <v>0.68754578754578755</v>
      </c>
      <c r="K17" s="66">
        <f t="shared" ref="K17:K47" si="3">I17/I18-1</f>
        <v>-1.607548488554944E-2</v>
      </c>
      <c r="L17" s="58">
        <v>67</v>
      </c>
      <c r="M17" s="68">
        <f>((G18+9)*L18*1.023+400+550)/1000</f>
        <v>5.8507326499999994</v>
      </c>
      <c r="N17" s="68">
        <f>((I18+11)*L18*1.023+400+550)/1000</f>
        <v>5.7050766312499981</v>
      </c>
      <c r="O17" s="31">
        <v>6</v>
      </c>
      <c r="P17" s="69">
        <f t="shared" ref="P17:P35" si="4">O17/M17</f>
        <v>1.0255125911453158</v>
      </c>
      <c r="Q17" s="61"/>
      <c r="R17" s="61" t="s">
        <v>45</v>
      </c>
      <c r="S17" s="70">
        <f>(N17-O17)*B17*1000</f>
        <v>-762376.90821875492</v>
      </c>
      <c r="T17" s="71"/>
    </row>
    <row r="18" spans="1:24" x14ac:dyDescent="0.25">
      <c r="A18" s="63">
        <v>42767</v>
      </c>
      <c r="B18" s="58">
        <v>3190</v>
      </c>
      <c r="C18" s="58">
        <v>2500</v>
      </c>
      <c r="D18" s="64">
        <f t="shared" si="0"/>
        <v>-85</v>
      </c>
      <c r="E18" s="58">
        <v>83.32</v>
      </c>
      <c r="F18" s="66">
        <f t="shared" si="1"/>
        <v>-3.3746955815841528E-2</v>
      </c>
      <c r="G18" s="58">
        <v>61.32</v>
      </c>
      <c r="H18" s="66">
        <f t="shared" si="2"/>
        <v>-2.9439696106362767E-2</v>
      </c>
      <c r="I18" s="58">
        <v>57.23</v>
      </c>
      <c r="J18" s="67">
        <f>I18/E18</f>
        <v>0.68686989918386943</v>
      </c>
      <c r="K18" s="66">
        <f t="shared" si="3"/>
        <v>-3.2296246195468448E-2</v>
      </c>
      <c r="L18" s="58">
        <v>68.125</v>
      </c>
      <c r="M18" s="68">
        <f>((G19+9)*L19*1.023+400+550)/1000</f>
        <v>6.0486616670000002</v>
      </c>
      <c r="N18" s="68">
        <f>((I19+9)*L19*1.023+400+550)/1000</f>
        <v>5.7632835409999998</v>
      </c>
      <c r="O18" s="72">
        <v>6</v>
      </c>
      <c r="P18" s="69">
        <f t="shared" si="4"/>
        <v>0.99195496959840124</v>
      </c>
      <c r="Q18" s="61"/>
      <c r="R18" s="61"/>
      <c r="S18" s="70">
        <f t="shared" ref="S18:S27" si="5">(N18-O18)*B18*1000</f>
        <v>-755125.50421000051</v>
      </c>
      <c r="T18" s="71"/>
    </row>
    <row r="19" spans="1:24" x14ac:dyDescent="0.25">
      <c r="A19" s="63">
        <v>42736</v>
      </c>
      <c r="B19" s="58">
        <v>3042</v>
      </c>
      <c r="C19" s="73">
        <v>4800</v>
      </c>
      <c r="D19" s="64">
        <f t="shared" si="0"/>
        <v>1610</v>
      </c>
      <c r="E19" s="73">
        <v>86.23</v>
      </c>
      <c r="F19" s="66">
        <f t="shared" si="1"/>
        <v>-0.1520306814829383</v>
      </c>
      <c r="G19" s="73">
        <v>63.18</v>
      </c>
      <c r="H19" s="66">
        <f t="shared" si="2"/>
        <v>-0.13463909053554313</v>
      </c>
      <c r="I19" s="73">
        <v>59.14</v>
      </c>
      <c r="J19" s="67">
        <f t="shared" ref="J19:J48" si="6">I19/E19</f>
        <v>0.68584019482778613</v>
      </c>
      <c r="K19" s="66">
        <f t="shared" si="3"/>
        <v>-0.14586943963027144</v>
      </c>
      <c r="L19" s="73">
        <v>69.05</v>
      </c>
      <c r="M19" s="68">
        <f>((G20+9)*L20*1.023+400+550)/1000</f>
        <v>6.7388398699999996</v>
      </c>
      <c r="N19" s="68">
        <f>((I20+9)*L20*1.023+400+550)/1000</f>
        <v>6.4727268799999989</v>
      </c>
      <c r="O19" s="72">
        <v>5.74</v>
      </c>
      <c r="P19" s="69">
        <f t="shared" si="4"/>
        <v>0.8517786608275647</v>
      </c>
      <c r="Q19" s="61"/>
      <c r="R19" s="61"/>
      <c r="S19" s="70">
        <f t="shared" si="5"/>
        <v>2228955.1689599957</v>
      </c>
      <c r="T19" s="71">
        <f>D19*(O18-O19)*1000</f>
        <v>418599.99999999971</v>
      </c>
    </row>
    <row r="20" spans="1:24" x14ac:dyDescent="0.25">
      <c r="A20" s="63">
        <v>42705</v>
      </c>
      <c r="B20" s="58">
        <v>3304</v>
      </c>
      <c r="C20" s="58">
        <v>3200</v>
      </c>
      <c r="D20" s="64">
        <f t="shared" si="0"/>
        <v>158</v>
      </c>
      <c r="E20" s="58">
        <v>101.69</v>
      </c>
      <c r="F20" s="74">
        <f t="shared" si="1"/>
        <v>0.19790316880669101</v>
      </c>
      <c r="G20" s="58">
        <v>73.010000000000005</v>
      </c>
      <c r="H20" s="74">
        <f t="shared" si="2"/>
        <v>0.17153401797175882</v>
      </c>
      <c r="I20" s="58">
        <v>69.239999999999995</v>
      </c>
      <c r="J20" s="67">
        <f t="shared" si="6"/>
        <v>0.68089290982397477</v>
      </c>
      <c r="K20" s="74">
        <f t="shared" si="3"/>
        <v>0.18846549948506697</v>
      </c>
      <c r="L20" s="58">
        <v>69</v>
      </c>
      <c r="M20" s="59">
        <f t="shared" ref="M20:M27" si="7">((G21+9)*L21*1.023+400+550)/1000</f>
        <v>5.9258965519999993</v>
      </c>
      <c r="N20" s="59">
        <f t="shared" ref="N20:N27" si="8">((I21+9)*L21*1.023+400+550)/1000</f>
        <v>5.642636035999999</v>
      </c>
      <c r="O20" s="31">
        <v>5.53</v>
      </c>
      <c r="P20" s="60">
        <f t="shared" si="4"/>
        <v>0.93319212569338839</v>
      </c>
      <c r="Q20" s="61"/>
      <c r="R20" s="61"/>
      <c r="S20" s="70">
        <f t="shared" si="5"/>
        <v>372149.46294399578</v>
      </c>
      <c r="T20" s="71">
        <f t="shared" ref="T20" si="9">D20*(O19-O20)*1000</f>
        <v>33179.999999999993</v>
      </c>
    </row>
    <row r="21" spans="1:24" x14ac:dyDescent="0.25">
      <c r="A21" s="63">
        <v>42675</v>
      </c>
      <c r="B21" s="58">
        <v>2578</v>
      </c>
      <c r="C21" s="58">
        <v>211</v>
      </c>
      <c r="D21" s="64">
        <f t="shared" si="0"/>
        <v>-3093</v>
      </c>
      <c r="E21" s="58">
        <v>84.89</v>
      </c>
      <c r="F21" s="74">
        <f t="shared" si="1"/>
        <v>0.22904299985521948</v>
      </c>
      <c r="G21" s="58">
        <v>62.32</v>
      </c>
      <c r="H21" s="74">
        <f t="shared" si="2"/>
        <v>0.19249904324531197</v>
      </c>
      <c r="I21" s="58">
        <v>58.26</v>
      </c>
      <c r="J21" s="67">
        <f t="shared" si="6"/>
        <v>0.68629991754034625</v>
      </c>
      <c r="K21" s="74">
        <f t="shared" si="3"/>
        <v>0.2155226371792196</v>
      </c>
      <c r="L21" s="58">
        <v>68.2</v>
      </c>
      <c r="M21" s="59">
        <f t="shared" si="7"/>
        <v>5.1820362193999987</v>
      </c>
      <c r="N21" s="59">
        <f t="shared" si="8"/>
        <v>4.882906006699999</v>
      </c>
      <c r="O21" s="31">
        <v>5.66</v>
      </c>
      <c r="P21" s="60">
        <f t="shared" si="4"/>
        <v>1.0922347433255382</v>
      </c>
      <c r="Q21" s="61"/>
      <c r="R21" s="61"/>
      <c r="S21" s="70">
        <f t="shared" si="5"/>
        <v>-2003348.314727403</v>
      </c>
      <c r="T21" s="71">
        <f>D21*(O20-O21)*1000</f>
        <v>402089.99999999971</v>
      </c>
    </row>
    <row r="22" spans="1:24" x14ac:dyDescent="0.25">
      <c r="A22" s="63">
        <v>42644</v>
      </c>
      <c r="B22" s="58">
        <v>1187</v>
      </c>
      <c r="C22" s="58">
        <v>3050</v>
      </c>
      <c r="D22" s="64">
        <f t="shared" si="0"/>
        <v>472</v>
      </c>
      <c r="E22" s="58">
        <v>69.069999999999993</v>
      </c>
      <c r="F22" s="74">
        <f t="shared" si="1"/>
        <v>8.0400437979039507E-2</v>
      </c>
      <c r="G22" s="58">
        <v>52.26</v>
      </c>
      <c r="H22" s="74">
        <f t="shared" si="2"/>
        <v>6.6748315982853468E-2</v>
      </c>
      <c r="I22" s="58">
        <v>47.93</v>
      </c>
      <c r="J22" s="67">
        <f t="shared" si="6"/>
        <v>0.6939336904589547</v>
      </c>
      <c r="K22" s="74">
        <f t="shared" si="3"/>
        <v>7.538703163562932E-2</v>
      </c>
      <c r="L22" s="58">
        <v>67.53</v>
      </c>
      <c r="M22" s="59">
        <f t="shared" si="7"/>
        <v>4.9780839830000003</v>
      </c>
      <c r="N22" s="59">
        <f>((I23+9)*L23*1.023+400+550)/1000</f>
        <v>4.6710632690000002</v>
      </c>
      <c r="O22" s="75">
        <v>5.125</v>
      </c>
      <c r="P22" s="60">
        <f t="shared" si="4"/>
        <v>1.0295125629663366</v>
      </c>
      <c r="Q22" s="76"/>
      <c r="R22" s="61"/>
      <c r="S22" s="70">
        <f t="shared" si="5"/>
        <v>-538822.8996969997</v>
      </c>
      <c r="T22" s="71">
        <f>D22*(O21-O22)*1000</f>
        <v>252520.00000000006</v>
      </c>
    </row>
    <row r="23" spans="1:24" x14ac:dyDescent="0.25">
      <c r="A23" s="63">
        <v>42614</v>
      </c>
      <c r="B23" s="58">
        <v>2592</v>
      </c>
      <c r="C23" s="58">
        <v>500</v>
      </c>
      <c r="D23" s="64">
        <f t="shared" si="0"/>
        <v>-687</v>
      </c>
      <c r="E23" s="58">
        <v>63.93</v>
      </c>
      <c r="F23" s="74">
        <f t="shared" si="1"/>
        <v>9.5254411512763371E-2</v>
      </c>
      <c r="G23" s="58">
        <v>48.99</v>
      </c>
      <c r="H23" s="74">
        <f t="shared" si="2"/>
        <v>7.7887788778877809E-2</v>
      </c>
      <c r="I23" s="58">
        <v>44.57</v>
      </c>
      <c r="J23" s="67">
        <f t="shared" si="6"/>
        <v>0.69716877835132174</v>
      </c>
      <c r="K23" s="74">
        <f t="shared" si="3"/>
        <v>8.893232347911062E-2</v>
      </c>
      <c r="L23" s="58">
        <v>67.900000000000006</v>
      </c>
      <c r="M23" s="59">
        <f t="shared" si="7"/>
        <v>4.7238342124999999</v>
      </c>
      <c r="N23" s="59">
        <f t="shared" si="8"/>
        <v>4.4105609225000002</v>
      </c>
      <c r="O23" s="31">
        <v>3.9</v>
      </c>
      <c r="P23" s="60">
        <f t="shared" si="4"/>
        <v>0.82560052376097226</v>
      </c>
      <c r="Q23" s="31">
        <v>4.5999999999999996</v>
      </c>
      <c r="R23" s="61">
        <f>Q23/N23</f>
        <v>1.0429512438052031</v>
      </c>
      <c r="S23" s="70">
        <f t="shared" si="5"/>
        <v>1323373.9111200008</v>
      </c>
      <c r="T23" s="71"/>
      <c r="U23" s="77" t="s">
        <v>46</v>
      </c>
    </row>
    <row r="24" spans="1:24" x14ac:dyDescent="0.25">
      <c r="A24" s="63">
        <v>42583</v>
      </c>
      <c r="B24" s="64">
        <v>2852</v>
      </c>
      <c r="C24" s="64">
        <v>4500</v>
      </c>
      <c r="D24" s="64">
        <f t="shared" si="0"/>
        <v>1908</v>
      </c>
      <c r="E24" s="58">
        <v>58.37</v>
      </c>
      <c r="F24" s="74">
        <f t="shared" si="1"/>
        <v>0.10132075471698099</v>
      </c>
      <c r="G24" s="58">
        <v>45.45</v>
      </c>
      <c r="H24" s="74">
        <f t="shared" si="2"/>
        <v>8.1113225499524377E-2</v>
      </c>
      <c r="I24" s="58">
        <v>40.93</v>
      </c>
      <c r="J24" s="67">
        <f t="shared" si="6"/>
        <v>0.70121637827651195</v>
      </c>
      <c r="K24" s="74">
        <f t="shared" si="3"/>
        <v>9.3507881378573243E-2</v>
      </c>
      <c r="L24" s="58">
        <v>67.75</v>
      </c>
      <c r="M24" s="59">
        <f t="shared" si="7"/>
        <v>4.5099450656000002</v>
      </c>
      <c r="N24" s="59">
        <f t="shared" si="8"/>
        <v>4.1884061401999997</v>
      </c>
      <c r="O24" s="31">
        <v>3.9</v>
      </c>
      <c r="P24" s="60">
        <f t="shared" si="4"/>
        <v>0.86475554430753276</v>
      </c>
      <c r="Q24" s="31">
        <v>4.5999999999999996</v>
      </c>
      <c r="R24" s="61">
        <f>Q24/N24</f>
        <v>1.0982698062276133</v>
      </c>
      <c r="S24" s="70">
        <f t="shared" si="5"/>
        <v>822534.31185039936</v>
      </c>
      <c r="T24" s="71"/>
      <c r="U24" s="77" t="s">
        <v>46</v>
      </c>
    </row>
    <row r="25" spans="1:24" x14ac:dyDescent="0.25">
      <c r="A25" s="63">
        <v>42552</v>
      </c>
      <c r="B25" s="64">
        <v>2978</v>
      </c>
      <c r="C25" s="64">
        <v>2738</v>
      </c>
      <c r="D25" s="64">
        <f t="shared" si="0"/>
        <v>-114</v>
      </c>
      <c r="E25" s="58">
        <v>53</v>
      </c>
      <c r="F25" s="74">
        <f t="shared" si="1"/>
        <v>2.2968538892105705E-2</v>
      </c>
      <c r="G25" s="58">
        <v>42.04</v>
      </c>
      <c r="H25" s="74">
        <f t="shared" si="2"/>
        <v>1.8410852713178327E-2</v>
      </c>
      <c r="I25" s="58">
        <v>37.43</v>
      </c>
      <c r="J25" s="67">
        <f t="shared" si="6"/>
        <v>0.70622641509433959</v>
      </c>
      <c r="K25" s="74">
        <f t="shared" si="3"/>
        <v>2.1282401091405223E-2</v>
      </c>
      <c r="L25" s="78">
        <v>68.180000000000007</v>
      </c>
      <c r="M25" s="59">
        <f t="shared" si="7"/>
        <v>4.456679297</v>
      </c>
      <c r="N25" s="59">
        <f t="shared" si="8"/>
        <v>4.1337690912499996</v>
      </c>
      <c r="O25" s="31">
        <v>3.9</v>
      </c>
      <c r="P25" s="60">
        <f t="shared" si="4"/>
        <v>0.87509101285911983</v>
      </c>
      <c r="Q25" s="31">
        <v>4.5999999999999996</v>
      </c>
      <c r="R25" s="61">
        <f>Q25/N25</f>
        <v>1.1127859100153603</v>
      </c>
      <c r="S25" s="70">
        <f t="shared" si="5"/>
        <v>696164.35374249902</v>
      </c>
      <c r="T25" s="71"/>
      <c r="U25" s="77" t="s">
        <v>46</v>
      </c>
    </row>
    <row r="26" spans="1:24" x14ac:dyDescent="0.25">
      <c r="A26" s="63">
        <v>42522</v>
      </c>
      <c r="B26" s="64">
        <v>2283.63</v>
      </c>
      <c r="C26" s="64">
        <v>1000</v>
      </c>
      <c r="D26" s="64">
        <f t="shared" si="0"/>
        <v>-1978</v>
      </c>
      <c r="E26" s="58">
        <v>51.81</v>
      </c>
      <c r="F26" s="74">
        <f t="shared" si="1"/>
        <v>1.1914062500000044E-2</v>
      </c>
      <c r="G26" s="58">
        <v>41.28</v>
      </c>
      <c r="H26" s="74">
        <f t="shared" si="2"/>
        <v>9.5377842993396023E-3</v>
      </c>
      <c r="I26" s="58">
        <v>36.65</v>
      </c>
      <c r="J26" s="67">
        <f t="shared" si="6"/>
        <v>0.70739239529048437</v>
      </c>
      <c r="K26" s="74">
        <f t="shared" si="3"/>
        <v>1.1034482758620623E-2</v>
      </c>
      <c r="L26" s="78">
        <f>(68.3+68.05)/2</f>
        <v>68.174999999999997</v>
      </c>
      <c r="M26" s="59">
        <f t="shared" si="7"/>
        <v>4.4001329719999998</v>
      </c>
      <c r="N26" s="59">
        <f t="shared" si="8"/>
        <v>4.0792546999999999</v>
      </c>
      <c r="O26" s="31">
        <v>3.9</v>
      </c>
      <c r="P26" s="60">
        <f t="shared" si="4"/>
        <v>0.88633685045825472</v>
      </c>
      <c r="Q26" s="31">
        <v>4.5999999999999996</v>
      </c>
      <c r="R26" s="61">
        <f>Q26/N26</f>
        <v>1.1276569712599704</v>
      </c>
      <c r="S26" s="70">
        <f t="shared" si="5"/>
        <v>409351.410561</v>
      </c>
      <c r="T26" s="71"/>
      <c r="U26" s="77" t="s">
        <v>46</v>
      </c>
    </row>
    <row r="27" spans="1:24" x14ac:dyDescent="0.25">
      <c r="A27" s="63">
        <v>42491</v>
      </c>
      <c r="B27" s="64">
        <v>2273.0416600000003</v>
      </c>
      <c r="C27" s="64">
        <v>3000</v>
      </c>
      <c r="D27" s="64">
        <f t="shared" si="0"/>
        <v>716.36999999999989</v>
      </c>
      <c r="E27" s="58">
        <v>51.2</v>
      </c>
      <c r="F27" s="74">
        <f t="shared" si="1"/>
        <v>-2.1406727828746086E-2</v>
      </c>
      <c r="G27" s="58">
        <v>40.89</v>
      </c>
      <c r="H27" s="74">
        <f t="shared" si="2"/>
        <v>-1.7067307692307687E-2</v>
      </c>
      <c r="I27" s="27">
        <v>36.25</v>
      </c>
      <c r="J27" s="67">
        <f t="shared" si="6"/>
        <v>0.7080078125</v>
      </c>
      <c r="K27" s="74">
        <f t="shared" si="3"/>
        <v>-1.9740400216333054E-2</v>
      </c>
      <c r="L27" s="78">
        <f>(67.15+68.05)/2</f>
        <v>67.599999999999994</v>
      </c>
      <c r="M27" s="59">
        <f t="shared" si="7"/>
        <v>4.4285273600000004</v>
      </c>
      <c r="N27" s="59">
        <f t="shared" si="8"/>
        <v>4.1109226879999996</v>
      </c>
      <c r="O27" s="31">
        <v>3.9</v>
      </c>
      <c r="P27" s="60">
        <f t="shared" si="4"/>
        <v>0.88065392464911851</v>
      </c>
      <c r="Q27" s="61"/>
      <c r="R27" s="61"/>
      <c r="S27" s="70">
        <f t="shared" si="5"/>
        <v>479436.05686318141</v>
      </c>
      <c r="T27" s="71"/>
    </row>
    <row r="28" spans="1:24" s="89" customFormat="1" x14ac:dyDescent="0.25">
      <c r="A28" s="79">
        <v>42461</v>
      </c>
      <c r="B28" s="80">
        <v>2397.6103399999997</v>
      </c>
      <c r="C28" s="80">
        <v>2500</v>
      </c>
      <c r="D28" s="64">
        <f>C28-B27</f>
        <v>226.95833999999968</v>
      </c>
      <c r="E28" s="81">
        <v>52.32</v>
      </c>
      <c r="F28" s="82">
        <f t="shared" si="1"/>
        <v>1.356063541263075E-2</v>
      </c>
      <c r="G28" s="81">
        <v>41.6</v>
      </c>
      <c r="H28" s="82">
        <f t="shared" si="2"/>
        <v>1.0689990281827155E-2</v>
      </c>
      <c r="I28" s="81">
        <v>36.979999999999997</v>
      </c>
      <c r="J28" s="83">
        <f t="shared" si="6"/>
        <v>0.70680428134556572</v>
      </c>
      <c r="K28" s="82">
        <f t="shared" si="3"/>
        <v>1.2318642211880615E-2</v>
      </c>
      <c r="L28" s="84">
        <f>(67.5+66.9)/2</f>
        <v>67.2</v>
      </c>
      <c r="M28" s="85">
        <f>((G29+9)*L29*1.023+200+550)/1000</f>
        <v>4.2252189779999991</v>
      </c>
      <c r="N28" s="85">
        <f>((I29+9)*L29*1.023+200+550)/1000</f>
        <v>3.9044401927499992</v>
      </c>
      <c r="O28" s="86">
        <v>3.9</v>
      </c>
      <c r="P28" s="87">
        <f t="shared" si="4"/>
        <v>0.92302908329879241</v>
      </c>
      <c r="Q28" s="88"/>
      <c r="R28" s="88"/>
      <c r="S28" s="70">
        <f>(N28-O28)*B28*1000</f>
        <v>10645.852048991343</v>
      </c>
      <c r="T28" s="71"/>
    </row>
    <row r="29" spans="1:24" x14ac:dyDescent="0.25">
      <c r="A29" s="63">
        <v>42430</v>
      </c>
      <c r="B29" s="64">
        <v>2528.4929999999999</v>
      </c>
      <c r="C29" s="64">
        <v>3000</v>
      </c>
      <c r="D29" s="64">
        <f t="shared" ref="D29:D35" si="10">C29-B28</f>
        <v>602.38966000000028</v>
      </c>
      <c r="E29" s="58">
        <v>51.62</v>
      </c>
      <c r="F29" s="74">
        <f t="shared" si="1"/>
        <v>1.374705420267075E-2</v>
      </c>
      <c r="G29" s="90">
        <v>41.16</v>
      </c>
      <c r="H29" s="74">
        <f t="shared" si="2"/>
        <v>1.1053795136330091E-2</v>
      </c>
      <c r="I29" s="27">
        <v>36.53</v>
      </c>
      <c r="J29" s="67">
        <f t="shared" si="6"/>
        <v>0.70767144517628833</v>
      </c>
      <c r="K29" s="74">
        <f t="shared" si="3"/>
        <v>1.2752980316052209E-2</v>
      </c>
      <c r="L29" s="78">
        <f>(68+67.45)/2</f>
        <v>67.724999999999994</v>
      </c>
      <c r="M29" s="59">
        <f>((G30+9)*L30*1.023+200+550)/1000</f>
        <v>4.2436237710000002</v>
      </c>
      <c r="N29" s="59">
        <f>((I30+9)*L30*1.023+200+550)/1000</f>
        <v>3.9175241069999998</v>
      </c>
      <c r="O29" s="31">
        <v>3.9</v>
      </c>
      <c r="P29" s="60">
        <f t="shared" si="4"/>
        <v>0.91902586337925374</v>
      </c>
      <c r="Q29" s="61"/>
      <c r="R29" s="61"/>
      <c r="S29" s="91">
        <f t="shared" ref="S29:S35" si="11">(N29-O29)*C29*1000</f>
        <v>52572.320999999531</v>
      </c>
      <c r="T29" s="62"/>
    </row>
    <row r="30" spans="1:24" x14ac:dyDescent="0.25">
      <c r="A30" s="63">
        <v>42401</v>
      </c>
      <c r="B30" s="64">
        <v>2562.7755999999999</v>
      </c>
      <c r="C30" s="64">
        <v>2977.7710000000002</v>
      </c>
      <c r="D30" s="64">
        <f t="shared" si="10"/>
        <v>449.27800000000025</v>
      </c>
      <c r="E30" s="58">
        <v>50.92</v>
      </c>
      <c r="F30" s="74">
        <f t="shared" si="1"/>
        <v>-4.2857142857142927E-2</v>
      </c>
      <c r="G30" s="58">
        <v>40.71</v>
      </c>
      <c r="H30" s="74">
        <f t="shared" si="2"/>
        <v>-3.4392789373813959E-2</v>
      </c>
      <c r="I30" s="58">
        <v>36.07</v>
      </c>
      <c r="J30" s="67">
        <f t="shared" si="6"/>
        <v>0.70836606441476824</v>
      </c>
      <c r="K30" s="74">
        <f t="shared" si="3"/>
        <v>-3.9414114513981247E-2</v>
      </c>
      <c r="L30" s="78">
        <f>(68.45+68.95)/2</f>
        <v>68.7</v>
      </c>
      <c r="M30" s="59">
        <f t="shared" ref="M30:M36" si="12">((G32+9)*L32*1.023+200+550)/1000</f>
        <v>4.2820875479999998</v>
      </c>
      <c r="N30" s="59">
        <f t="shared" ref="N30:N36" si="13">((I32+9)*L32*1.023+200+550)/1000</f>
        <v>3.9657401429999997</v>
      </c>
      <c r="O30" s="31">
        <v>3.88</v>
      </c>
      <c r="P30" s="60">
        <f t="shared" si="4"/>
        <v>0.90610011040344107</v>
      </c>
      <c r="Q30" s="61"/>
      <c r="R30" s="61"/>
      <c r="S30" s="91">
        <f t="shared" si="11"/>
        <v>255314.51136125234</v>
      </c>
      <c r="T30" s="62"/>
    </row>
    <row r="31" spans="1:24" x14ac:dyDescent="0.25">
      <c r="A31" s="63">
        <v>42370</v>
      </c>
      <c r="B31" s="64">
        <v>1539.2913999999998</v>
      </c>
      <c r="C31" s="64">
        <v>1522.229</v>
      </c>
      <c r="D31" s="64">
        <f t="shared" si="10"/>
        <v>-1040.5465999999999</v>
      </c>
      <c r="E31" s="58">
        <v>53.2</v>
      </c>
      <c r="F31" s="74">
        <f t="shared" si="1"/>
        <v>-5.793309661745405E-3</v>
      </c>
      <c r="G31" s="58">
        <v>42.16</v>
      </c>
      <c r="H31" s="74">
        <f t="shared" si="2"/>
        <v>-4.7214353163362865E-3</v>
      </c>
      <c r="I31" s="92">
        <v>37.549999999999997</v>
      </c>
      <c r="J31" s="67">
        <f t="shared" si="6"/>
        <v>0.7058270676691728</v>
      </c>
      <c r="K31" s="74">
        <f t="shared" si="3"/>
        <v>-5.5614406779661563E-3</v>
      </c>
      <c r="L31" s="78">
        <f>(67.45+68.4)/2</f>
        <v>67.925000000000011</v>
      </c>
      <c r="M31" s="59">
        <f t="shared" si="12"/>
        <v>4.2814752824999998</v>
      </c>
      <c r="N31" s="59">
        <f t="shared" si="13"/>
        <v>3.9701344394999998</v>
      </c>
      <c r="O31" s="31">
        <v>3.9</v>
      </c>
      <c r="P31" s="60">
        <f t="shared" si="4"/>
        <v>0.91090097283540727</v>
      </c>
      <c r="Q31" s="61"/>
      <c r="R31" s="61"/>
      <c r="S31" s="91">
        <f t="shared" si="11"/>
        <v>106760.67770564531</v>
      </c>
      <c r="T31" s="62"/>
      <c r="U31" s="49"/>
      <c r="V31" s="93"/>
      <c r="W31" s="93"/>
      <c r="X31" s="93"/>
    </row>
    <row r="32" spans="1:24" x14ac:dyDescent="0.25">
      <c r="A32" s="63">
        <v>42339</v>
      </c>
      <c r="B32" s="64">
        <v>2857.9540000000002</v>
      </c>
      <c r="C32" s="64">
        <v>4000</v>
      </c>
      <c r="D32" s="64">
        <f t="shared" si="10"/>
        <v>2460.7085999999999</v>
      </c>
      <c r="E32" s="58">
        <v>53.51</v>
      </c>
      <c r="F32" s="74">
        <f t="shared" si="1"/>
        <v>-1.6902443505419806E-2</v>
      </c>
      <c r="G32" s="58">
        <v>42.36</v>
      </c>
      <c r="H32" s="74">
        <f t="shared" si="2"/>
        <v>-1.3736903376018739E-2</v>
      </c>
      <c r="I32" s="92">
        <v>37.76</v>
      </c>
      <c r="J32" s="67">
        <f t="shared" si="6"/>
        <v>0.70566249299196415</v>
      </c>
      <c r="K32" s="74">
        <f t="shared" si="3"/>
        <v>-1.5897836851707092E-2</v>
      </c>
      <c r="L32" s="78">
        <f>(67.25+67.2)/2</f>
        <v>67.224999999999994</v>
      </c>
      <c r="M32" s="59">
        <f t="shared" si="12"/>
        <v>4.370726917499999</v>
      </c>
      <c r="N32" s="59">
        <f t="shared" si="13"/>
        <v>4.0660289249999995</v>
      </c>
      <c r="O32" s="31">
        <v>4.17</v>
      </c>
      <c r="P32" s="60">
        <f t="shared" si="4"/>
        <v>0.95407470626995561</v>
      </c>
      <c r="Q32" s="61"/>
      <c r="R32" s="61"/>
      <c r="S32" s="91">
        <f t="shared" si="11"/>
        <v>-415884.30000000185</v>
      </c>
      <c r="T32" s="62"/>
      <c r="U32" s="49"/>
      <c r="V32" s="93"/>
      <c r="W32" s="93"/>
      <c r="X32" s="93"/>
    </row>
    <row r="33" spans="1:24" x14ac:dyDescent="0.25">
      <c r="A33" s="94">
        <v>42309</v>
      </c>
      <c r="B33" s="64">
        <v>1546.6510000000001</v>
      </c>
      <c r="C33" s="64">
        <v>1000</v>
      </c>
      <c r="D33" s="64">
        <f t="shared" si="10"/>
        <v>-1857.9540000000002</v>
      </c>
      <c r="E33" s="92">
        <v>54.43</v>
      </c>
      <c r="F33" s="74">
        <f t="shared" si="1"/>
        <v>-5.1576929778707092E-2</v>
      </c>
      <c r="G33" s="92">
        <v>42.95</v>
      </c>
      <c r="H33" s="74">
        <f t="shared" si="2"/>
        <v>-4.1936203435199548E-2</v>
      </c>
      <c r="I33" s="92">
        <v>38.369999999999997</v>
      </c>
      <c r="J33" s="67">
        <f t="shared" si="6"/>
        <v>0.70494212750321505</v>
      </c>
      <c r="K33" s="74">
        <f t="shared" si="3"/>
        <v>-4.7890818858560835E-2</v>
      </c>
      <c r="L33" s="78">
        <f>(66.2+66.7)/2</f>
        <v>66.45</v>
      </c>
      <c r="M33" s="59">
        <f t="shared" si="12"/>
        <v>4.389272884244547</v>
      </c>
      <c r="N33" s="59">
        <f t="shared" si="13"/>
        <v>4.1628492254999987</v>
      </c>
      <c r="O33" s="31">
        <v>4.2300000000000004</v>
      </c>
      <c r="P33" s="60">
        <f t="shared" si="4"/>
        <v>0.96371315057301121</v>
      </c>
      <c r="Q33" s="61"/>
      <c r="R33" s="61"/>
      <c r="S33" s="91">
        <f t="shared" si="11"/>
        <v>-67150.774500001731</v>
      </c>
      <c r="T33" s="62"/>
      <c r="U33" s="49"/>
      <c r="V33" s="93"/>
      <c r="W33" s="93"/>
      <c r="X33" s="93"/>
    </row>
    <row r="34" spans="1:24" ht="15.75" thickBot="1" x14ac:dyDescent="0.3">
      <c r="A34" s="94">
        <v>42278</v>
      </c>
      <c r="B34" s="64">
        <v>969.97</v>
      </c>
      <c r="C34" s="64">
        <v>2000</v>
      </c>
      <c r="D34" s="64">
        <f t="shared" si="10"/>
        <v>453.34899999999993</v>
      </c>
      <c r="E34" s="92">
        <v>57.39</v>
      </c>
      <c r="F34" s="74">
        <f t="shared" si="1"/>
        <v>-1.4086926644906406E-2</v>
      </c>
      <c r="G34" s="95">
        <v>44.83</v>
      </c>
      <c r="H34" s="74">
        <f t="shared" si="2"/>
        <v>1.5725397362191362E-2</v>
      </c>
      <c r="I34" s="92">
        <v>40.299999999999997</v>
      </c>
      <c r="J34" s="67">
        <f t="shared" si="6"/>
        <v>0.7022129290817215</v>
      </c>
      <c r="K34" s="74">
        <f t="shared" si="3"/>
        <v>-1.2980651481753647E-2</v>
      </c>
      <c r="L34" s="78">
        <f>(66.15+65.35)/2</f>
        <v>65.75</v>
      </c>
      <c r="M34" s="59">
        <f t="shared" si="12"/>
        <v>4.2976799469238776</v>
      </c>
      <c r="N34" s="59">
        <f t="shared" si="13"/>
        <v>4.1186278339999989</v>
      </c>
      <c r="O34" s="31">
        <v>4.26</v>
      </c>
      <c r="P34" s="60">
        <f t="shared" si="4"/>
        <v>0.9912324911605277</v>
      </c>
      <c r="Q34" s="61"/>
      <c r="R34" s="61"/>
      <c r="S34" s="91">
        <f t="shared" si="11"/>
        <v>-282744.3320000018</v>
      </c>
      <c r="T34" s="62"/>
      <c r="U34" s="49"/>
      <c r="V34" s="93"/>
      <c r="W34" s="93"/>
      <c r="X34" s="93"/>
    </row>
    <row r="35" spans="1:24" x14ac:dyDescent="0.25">
      <c r="A35" s="94">
        <v>42248</v>
      </c>
      <c r="B35" s="64">
        <v>481</v>
      </c>
      <c r="C35" s="64">
        <v>500</v>
      </c>
      <c r="D35" s="64">
        <f t="shared" si="10"/>
        <v>-469.97</v>
      </c>
      <c r="E35" s="92">
        <v>58.21</v>
      </c>
      <c r="F35" s="96">
        <f t="shared" si="1"/>
        <v>-1.5725397362191362E-2</v>
      </c>
      <c r="G35" s="97">
        <f>G34/(1-F35)</f>
        <v>44.135944731146992</v>
      </c>
      <c r="H35" s="74">
        <f t="shared" si="2"/>
        <v>3.3806626098709103E-4</v>
      </c>
      <c r="I35" s="92">
        <v>40.83</v>
      </c>
      <c r="J35" s="67">
        <f t="shared" si="6"/>
        <v>0.70142587184332583</v>
      </c>
      <c r="K35" s="74">
        <f t="shared" si="3"/>
        <v>-1.4720077220077177E-2</v>
      </c>
      <c r="L35" s="78">
        <f>(66.85+67.05)/2</f>
        <v>66.949999999999989</v>
      </c>
      <c r="M35" s="59">
        <f t="shared" si="12"/>
        <v>4.2166980131313334</v>
      </c>
      <c r="N35" s="59">
        <f t="shared" si="13"/>
        <v>4.0620942112499998</v>
      </c>
      <c r="O35" s="31">
        <v>4.6500000000000004</v>
      </c>
      <c r="P35" s="60">
        <f t="shared" si="4"/>
        <v>1.1027586005730809</v>
      </c>
      <c r="Q35" s="61"/>
      <c r="R35" s="61"/>
      <c r="S35" s="91">
        <f t="shared" si="11"/>
        <v>-293952.89437500027</v>
      </c>
      <c r="T35" s="62"/>
      <c r="V35" s="93"/>
      <c r="W35" s="93"/>
      <c r="X35" s="93"/>
    </row>
    <row r="36" spans="1:24" x14ac:dyDescent="0.25">
      <c r="A36" s="94">
        <v>42217</v>
      </c>
      <c r="B36" s="94"/>
      <c r="C36" s="98"/>
      <c r="D36" s="98"/>
      <c r="E36" s="92">
        <v>59.14</v>
      </c>
      <c r="F36" s="96">
        <f t="shared" si="1"/>
        <v>-3.3806626098709103E-4</v>
      </c>
      <c r="G36" s="99">
        <f t="shared" ref="G36:G47" si="14">G35/(1-F36)</f>
        <v>44.12102889987591</v>
      </c>
      <c r="H36" s="74">
        <f t="shared" si="2"/>
        <v>7.2159758348717684E-3</v>
      </c>
      <c r="I36" s="92">
        <v>41.44</v>
      </c>
      <c r="J36" s="67">
        <f t="shared" si="6"/>
        <v>0.70071017923571177</v>
      </c>
      <c r="K36" s="74">
        <f t="shared" si="3"/>
        <v>-2.4125452352241616E-4</v>
      </c>
      <c r="L36" s="78">
        <f>(64.35+65.75+65.75)/3</f>
        <v>65.283333333333331</v>
      </c>
      <c r="M36" s="59">
        <f t="shared" si="12"/>
        <v>4.1733670666171436</v>
      </c>
      <c r="N36" s="59">
        <f t="shared" si="13"/>
        <v>4.1051274734999996</v>
      </c>
      <c r="O36" s="31"/>
      <c r="P36" s="31"/>
      <c r="Q36" s="100"/>
      <c r="R36" s="100"/>
    </row>
    <row r="37" spans="1:24" x14ac:dyDescent="0.25">
      <c r="A37" s="94">
        <v>42186</v>
      </c>
      <c r="B37" s="94"/>
      <c r="C37" s="98"/>
      <c r="D37" s="98"/>
      <c r="E37" s="92">
        <v>59.16</v>
      </c>
      <c r="F37" s="96">
        <f t="shared" si="1"/>
        <v>-7.2159758348717684E-3</v>
      </c>
      <c r="G37" s="99">
        <f t="shared" si="14"/>
        <v>43.804933557874129</v>
      </c>
      <c r="H37" s="74">
        <f t="shared" si="2"/>
        <v>2.4394237066142743E-2</v>
      </c>
      <c r="I37" s="92">
        <v>41.45</v>
      </c>
      <c r="J37" s="67">
        <f t="shared" si="6"/>
        <v>0.70064232589587572</v>
      </c>
      <c r="K37" s="74">
        <f t="shared" si="3"/>
        <v>-6.7098011023243309E-3</v>
      </c>
      <c r="L37" s="78">
        <f>(64.25+64.1)/2</f>
        <v>64.174999999999997</v>
      </c>
      <c r="M37" s="31"/>
      <c r="N37" s="31"/>
      <c r="O37" s="31"/>
      <c r="P37" s="31"/>
      <c r="Q37" s="100"/>
      <c r="R37" s="100"/>
    </row>
    <row r="38" spans="1:24" x14ac:dyDescent="0.25">
      <c r="A38" s="94">
        <v>42156</v>
      </c>
      <c r="B38" s="94"/>
      <c r="C38" s="98"/>
      <c r="D38" s="98"/>
      <c r="E38" s="92">
        <v>59.59</v>
      </c>
      <c r="F38" s="96">
        <f t="shared" si="1"/>
        <v>-2.4394237066142632E-2</v>
      </c>
      <c r="G38" s="99">
        <f t="shared" si="14"/>
        <v>42.76179226010791</v>
      </c>
      <c r="H38" s="74">
        <f t="shared" si="2"/>
        <v>5.2729528535980119E-2</v>
      </c>
      <c r="I38" s="92">
        <v>41.73</v>
      </c>
      <c r="J38" s="67">
        <f t="shared" si="6"/>
        <v>0.70028528276556457</v>
      </c>
      <c r="K38" s="74">
        <f t="shared" si="3"/>
        <v>-2.2945446031374495E-2</v>
      </c>
      <c r="L38" s="78">
        <f>(64.75+64.55)/2</f>
        <v>64.650000000000006</v>
      </c>
      <c r="M38" s="31"/>
      <c r="N38" s="31"/>
      <c r="O38" s="31"/>
      <c r="P38" s="31"/>
      <c r="Q38" s="100"/>
      <c r="R38" s="100"/>
    </row>
    <row r="39" spans="1:24" x14ac:dyDescent="0.25">
      <c r="A39" s="94">
        <v>42125</v>
      </c>
      <c r="B39" s="94"/>
      <c r="C39" s="98"/>
      <c r="D39" s="98"/>
      <c r="E39" s="92">
        <v>61.08</v>
      </c>
      <c r="F39" s="96">
        <f t="shared" si="1"/>
        <v>-5.272952853598023E-2</v>
      </c>
      <c r="G39" s="99">
        <f t="shared" si="14"/>
        <v>40.619922877603976</v>
      </c>
      <c r="H39" s="74">
        <f t="shared" si="2"/>
        <v>4.7140534949017265E-2</v>
      </c>
      <c r="I39" s="92">
        <v>42.71</v>
      </c>
      <c r="J39" s="67">
        <f t="shared" si="6"/>
        <v>0.69924688932547485</v>
      </c>
      <c r="K39" s="74">
        <f t="shared" si="3"/>
        <v>-4.9410193634542576E-2</v>
      </c>
      <c r="L39" s="78">
        <f>(62.95+64.35+64.3)/3</f>
        <v>63.866666666666667</v>
      </c>
      <c r="M39" s="31"/>
      <c r="N39" s="31"/>
      <c r="O39" s="31"/>
      <c r="P39" s="31"/>
      <c r="Q39" s="100"/>
      <c r="R39" s="100"/>
    </row>
    <row r="40" spans="1:24" x14ac:dyDescent="0.25">
      <c r="A40" s="94">
        <v>42095</v>
      </c>
      <c r="B40" s="94"/>
      <c r="C40" s="98"/>
      <c r="D40" s="98"/>
      <c r="E40" s="92">
        <v>64.48</v>
      </c>
      <c r="F40" s="96">
        <f t="shared" si="1"/>
        <v>-4.7140534949017265E-2</v>
      </c>
      <c r="G40" s="99">
        <f t="shared" si="14"/>
        <v>38.791281133607974</v>
      </c>
      <c r="H40" s="74">
        <f t="shared" si="2"/>
        <v>-7.5492689129052826E-2</v>
      </c>
      <c r="I40" s="92">
        <v>44.93</v>
      </c>
      <c r="J40" s="67">
        <f t="shared" si="6"/>
        <v>0.69680521091811409</v>
      </c>
      <c r="K40" s="74">
        <f t="shared" si="3"/>
        <v>-4.5666949872557372E-2</v>
      </c>
      <c r="L40" s="78">
        <f>(63.2+62.95)/2</f>
        <v>63.075000000000003</v>
      </c>
      <c r="M40" s="31"/>
      <c r="N40" s="31"/>
      <c r="O40" s="31"/>
      <c r="P40" s="31"/>
      <c r="Q40" s="100"/>
      <c r="R40" s="100"/>
    </row>
    <row r="41" spans="1:24" x14ac:dyDescent="0.25">
      <c r="A41" s="94">
        <v>42064</v>
      </c>
      <c r="B41" s="94"/>
      <c r="C41" s="98"/>
      <c r="D41" s="98"/>
      <c r="E41" s="92">
        <v>67.67</v>
      </c>
      <c r="F41" s="96">
        <f t="shared" si="1"/>
        <v>7.5492689129052826E-2</v>
      </c>
      <c r="G41" s="99">
        <f t="shared" si="14"/>
        <v>41.958868986188996</v>
      </c>
      <c r="H41" s="74">
        <f t="shared" si="2"/>
        <v>1.4411027568922208E-2</v>
      </c>
      <c r="I41" s="92">
        <v>47.08</v>
      </c>
      <c r="J41" s="67">
        <f t="shared" si="6"/>
        <v>0.69572927441997923</v>
      </c>
      <c r="K41" s="74">
        <f t="shared" si="3"/>
        <v>7.2193122295604706E-2</v>
      </c>
      <c r="L41" s="78">
        <f>(62.8+63)/2</f>
        <v>62.9</v>
      </c>
      <c r="M41" s="31"/>
      <c r="N41" s="31"/>
      <c r="O41" s="31"/>
      <c r="P41" s="31"/>
      <c r="Q41" s="100"/>
      <c r="R41" s="100"/>
    </row>
    <row r="42" spans="1:24" x14ac:dyDescent="0.25">
      <c r="A42" s="94">
        <v>42036</v>
      </c>
      <c r="B42" s="94"/>
      <c r="C42" s="98"/>
      <c r="D42" s="98"/>
      <c r="E42" s="92">
        <v>62.92</v>
      </c>
      <c r="F42" s="96">
        <f t="shared" si="1"/>
        <v>-1.4411027568922319E-2</v>
      </c>
      <c r="G42" s="99">
        <f t="shared" si="14"/>
        <v>41.362788697935542</v>
      </c>
      <c r="H42" s="74">
        <f t="shared" si="2"/>
        <v>1.2529002320185612E-2</v>
      </c>
      <c r="I42" s="92">
        <v>43.91</v>
      </c>
      <c r="J42" s="67">
        <f t="shared" si="6"/>
        <v>0.69787031150667511</v>
      </c>
      <c r="K42" s="74">
        <f t="shared" si="3"/>
        <v>-1.3480116827679245E-2</v>
      </c>
      <c r="L42" s="78">
        <f>(62.45+62.8)/2</f>
        <v>62.625</v>
      </c>
      <c r="M42" s="31"/>
      <c r="N42" s="31"/>
      <c r="O42" s="31"/>
      <c r="P42" s="31"/>
      <c r="Q42" s="100"/>
      <c r="R42" s="100"/>
    </row>
    <row r="43" spans="1:24" x14ac:dyDescent="0.25">
      <c r="A43" s="94">
        <v>42005</v>
      </c>
      <c r="B43" s="94"/>
      <c r="C43" s="98"/>
      <c r="D43" s="98"/>
      <c r="E43" s="92">
        <v>63.84</v>
      </c>
      <c r="F43" s="96">
        <f t="shared" si="1"/>
        <v>-1.2529002320185612E-2</v>
      </c>
      <c r="G43" s="99">
        <f t="shared" si="14"/>
        <v>40.850966839620114</v>
      </c>
      <c r="H43" s="74">
        <f t="shared" si="2"/>
        <v>1.5981735159817267E-2</v>
      </c>
      <c r="I43" s="92">
        <v>44.51</v>
      </c>
      <c r="J43" s="67">
        <f t="shared" si="6"/>
        <v>0.69721177944862145</v>
      </c>
      <c r="K43" s="74">
        <f t="shared" si="3"/>
        <v>-1.1767317939609279E-2</v>
      </c>
      <c r="L43" s="78">
        <f>(63.8+62.3+62.3)/3</f>
        <v>62.79999999999999</v>
      </c>
      <c r="M43" s="31"/>
      <c r="N43" s="31"/>
      <c r="O43" s="31"/>
      <c r="P43" s="31"/>
      <c r="Q43" s="100"/>
      <c r="R43" s="100"/>
    </row>
    <row r="44" spans="1:24" x14ac:dyDescent="0.25">
      <c r="A44" s="94">
        <v>41974</v>
      </c>
      <c r="B44" s="94"/>
      <c r="C44" s="98"/>
      <c r="D44" s="98"/>
      <c r="E44" s="92">
        <v>64.650000000000006</v>
      </c>
      <c r="F44" s="96">
        <f t="shared" si="1"/>
        <v>-1.5981735159817267E-2</v>
      </c>
      <c r="G44" s="99">
        <f t="shared" si="14"/>
        <v>40.208367361244072</v>
      </c>
      <c r="H44" s="74">
        <f t="shared" si="2"/>
        <v>2.3193577163246992E-2</v>
      </c>
      <c r="I44" s="92">
        <v>45.04</v>
      </c>
      <c r="J44" s="67">
        <f t="shared" si="6"/>
        <v>0.69667440061871611</v>
      </c>
      <c r="K44" s="74">
        <f t="shared" si="3"/>
        <v>-1.5088563306363434E-2</v>
      </c>
      <c r="L44" s="78">
        <f>(62.5+63.85)/2</f>
        <v>63.174999999999997</v>
      </c>
      <c r="M44" s="31"/>
      <c r="N44" s="31"/>
      <c r="O44" s="31"/>
      <c r="P44" s="31"/>
      <c r="Q44" s="100"/>
      <c r="R44" s="100"/>
    </row>
    <row r="45" spans="1:24" x14ac:dyDescent="0.25">
      <c r="A45" s="94">
        <v>41944</v>
      </c>
      <c r="B45" s="94"/>
      <c r="C45" s="98"/>
      <c r="D45" s="98"/>
      <c r="E45" s="92">
        <v>65.7</v>
      </c>
      <c r="F45" s="96">
        <f t="shared" si="1"/>
        <v>-2.3193577163247103E-2</v>
      </c>
      <c r="G45" s="99">
        <f t="shared" si="14"/>
        <v>39.296930960727643</v>
      </c>
      <c r="H45" s="74">
        <f t="shared" si="2"/>
        <v>3.4868704261730388E-2</v>
      </c>
      <c r="I45" s="92">
        <v>45.73</v>
      </c>
      <c r="J45" s="67">
        <f t="shared" si="6"/>
        <v>0.6960426179604261</v>
      </c>
      <c r="K45" s="74">
        <f t="shared" si="3"/>
        <v>-2.1818181818181848E-2</v>
      </c>
      <c r="L45" s="78">
        <f>(61.9+62.6)/2</f>
        <v>62.25</v>
      </c>
      <c r="M45" s="31"/>
      <c r="N45" s="31"/>
      <c r="O45" s="31"/>
      <c r="P45" s="31"/>
      <c r="Q45" s="100"/>
      <c r="R45" s="100"/>
    </row>
    <row r="46" spans="1:24" x14ac:dyDescent="0.25">
      <c r="A46" s="94">
        <v>41913</v>
      </c>
      <c r="B46" s="94"/>
      <c r="C46" s="98"/>
      <c r="D46" s="98"/>
      <c r="E46" s="92">
        <v>67.260000000000005</v>
      </c>
      <c r="F46" s="96">
        <f t="shared" si="1"/>
        <v>-3.4868704261730388E-2</v>
      </c>
      <c r="G46" s="99">
        <f t="shared" si="14"/>
        <v>37.972866315212279</v>
      </c>
      <c r="H46" s="74">
        <f t="shared" si="2"/>
        <v>0</v>
      </c>
      <c r="I46" s="92">
        <v>46.75</v>
      </c>
      <c r="J46" s="67">
        <f t="shared" si="6"/>
        <v>0.69506393101397557</v>
      </c>
      <c r="K46" s="74">
        <f t="shared" si="3"/>
        <v>-3.2691909786881856E-2</v>
      </c>
      <c r="L46" s="78">
        <f>(62.3+62.05)/2</f>
        <v>62.174999999999997</v>
      </c>
      <c r="M46" s="31"/>
      <c r="N46" s="31"/>
      <c r="O46" s="31"/>
      <c r="P46" s="31"/>
      <c r="Q46" s="100"/>
      <c r="R46" s="100"/>
    </row>
    <row r="47" spans="1:24" ht="15.75" thickBot="1" x14ac:dyDescent="0.3">
      <c r="A47" s="94">
        <v>41883</v>
      </c>
      <c r="B47" s="94"/>
      <c r="C47" s="94"/>
      <c r="D47" s="94"/>
      <c r="E47" s="92">
        <v>69.69</v>
      </c>
      <c r="F47" s="96"/>
      <c r="G47" s="101">
        <f t="shared" si="14"/>
        <v>37.972866315212279</v>
      </c>
      <c r="H47" s="74" t="e">
        <f t="shared" si="2"/>
        <v>#DIV/0!</v>
      </c>
      <c r="I47" s="92">
        <v>48.33</v>
      </c>
      <c r="J47" s="67">
        <f t="shared" si="6"/>
        <v>0.69349978476108476</v>
      </c>
      <c r="K47" s="74">
        <f t="shared" si="3"/>
        <v>-8.0049261083744438E-3</v>
      </c>
      <c r="L47" s="78">
        <f>(61+61.75)/2</f>
        <v>61.375</v>
      </c>
      <c r="M47" s="31"/>
      <c r="N47" s="31"/>
      <c r="O47" s="31"/>
      <c r="P47" s="31"/>
      <c r="Q47" s="100"/>
      <c r="R47" s="100"/>
    </row>
    <row r="48" spans="1:24" x14ac:dyDescent="0.25">
      <c r="A48" s="102">
        <v>41852</v>
      </c>
      <c r="B48" s="102"/>
      <c r="C48" s="102"/>
      <c r="D48" s="102"/>
      <c r="E48" s="31">
        <v>70.290000000000006</v>
      </c>
      <c r="F48" s="31"/>
      <c r="G48" s="103"/>
      <c r="H48" s="31"/>
      <c r="I48" s="92">
        <v>48.72</v>
      </c>
      <c r="J48" s="67">
        <f t="shared" si="6"/>
        <v>0.69312846777635506</v>
      </c>
      <c r="K48" s="92"/>
      <c r="L48" s="78">
        <f>(61.85+61.25)/2</f>
        <v>61.55</v>
      </c>
      <c r="M48" s="31"/>
      <c r="N48" s="31"/>
      <c r="O48" s="31"/>
      <c r="P48" s="31"/>
      <c r="Q48" s="100"/>
      <c r="R48" s="100"/>
    </row>
    <row r="49" spans="1:5" x14ac:dyDescent="0.25">
      <c r="A49" s="94">
        <v>41821</v>
      </c>
      <c r="E49" s="104">
        <v>72.45</v>
      </c>
    </row>
    <row r="50" spans="1:5" x14ac:dyDescent="0.25">
      <c r="A50" s="102">
        <v>41791</v>
      </c>
      <c r="E50" s="104">
        <v>73.64</v>
      </c>
    </row>
    <row r="51" spans="1:5" x14ac:dyDescent="0.25">
      <c r="A51" s="94">
        <v>41760</v>
      </c>
      <c r="E51" s="31">
        <v>73.599999999999994</v>
      </c>
    </row>
    <row r="52" spans="1:5" x14ac:dyDescent="0.25">
      <c r="A52" s="102">
        <v>41730</v>
      </c>
      <c r="E52" s="31">
        <v>74.81</v>
      </c>
    </row>
    <row r="53" spans="1:5" x14ac:dyDescent="0.25">
      <c r="A53" s="94">
        <v>41699</v>
      </c>
      <c r="E53" s="31">
        <v>77.010000000000005</v>
      </c>
    </row>
    <row r="54" spans="1:5" x14ac:dyDescent="0.25">
      <c r="A54" s="102">
        <v>41671</v>
      </c>
      <c r="E54" s="31">
        <v>80.44</v>
      </c>
    </row>
    <row r="55" spans="1:5" x14ac:dyDescent="0.25">
      <c r="A55" s="94">
        <v>41640</v>
      </c>
      <c r="E55" s="31">
        <v>81.900000000000006</v>
      </c>
    </row>
    <row r="56" spans="1:5" x14ac:dyDescent="0.25">
      <c r="A56" s="102">
        <v>41609</v>
      </c>
      <c r="E56" s="31">
        <v>80.31</v>
      </c>
    </row>
    <row r="57" spans="1:5" x14ac:dyDescent="0.25">
      <c r="A57" s="94">
        <v>41579</v>
      </c>
      <c r="E57" s="31">
        <v>78.13</v>
      </c>
    </row>
    <row r="58" spans="1:5" x14ac:dyDescent="0.25">
      <c r="A58" s="102">
        <v>41548</v>
      </c>
      <c r="E58" s="31">
        <v>76.61</v>
      </c>
    </row>
    <row r="59" spans="1:5" x14ac:dyDescent="0.25">
      <c r="A59" s="94">
        <v>41518</v>
      </c>
      <c r="E59" s="31">
        <v>76.89</v>
      </c>
    </row>
    <row r="60" spans="1:5" x14ac:dyDescent="0.25">
      <c r="A60" s="102">
        <v>41487</v>
      </c>
      <c r="E60" s="31">
        <v>76.7</v>
      </c>
    </row>
    <row r="61" spans="1:5" x14ac:dyDescent="0.25">
      <c r="A61" s="94">
        <v>41456</v>
      </c>
      <c r="E61" s="31">
        <v>81.69</v>
      </c>
    </row>
    <row r="62" spans="1:5" x14ac:dyDescent="0.25">
      <c r="A62" s="102">
        <v>41426</v>
      </c>
      <c r="E62" s="31">
        <v>84.87</v>
      </c>
    </row>
    <row r="63" spans="1:5" x14ac:dyDescent="0.25">
      <c r="A63" s="94">
        <v>41395</v>
      </c>
      <c r="E63" s="31">
        <v>85.33</v>
      </c>
    </row>
    <row r="64" spans="1:5" x14ac:dyDescent="0.25">
      <c r="A64" s="102">
        <v>41365</v>
      </c>
      <c r="E64" s="31">
        <v>88.56</v>
      </c>
    </row>
    <row r="65" spans="1:5" x14ac:dyDescent="0.25">
      <c r="A65" s="94">
        <v>41334</v>
      </c>
      <c r="E65" s="31">
        <v>90.09</v>
      </c>
    </row>
    <row r="66" spans="1:5" x14ac:dyDescent="0.25">
      <c r="A66" s="102">
        <v>41306</v>
      </c>
      <c r="E66" s="31">
        <v>88.35</v>
      </c>
    </row>
    <row r="67" spans="1:5" x14ac:dyDescent="0.25">
      <c r="A67" s="94">
        <v>41275</v>
      </c>
      <c r="E67" s="31">
        <v>87.55</v>
      </c>
    </row>
    <row r="68" spans="1:5" x14ac:dyDescent="0.25">
      <c r="A68" s="102">
        <v>41244</v>
      </c>
      <c r="E68" s="31">
        <v>81.75</v>
      </c>
    </row>
    <row r="69" spans="1:5" x14ac:dyDescent="0.25">
      <c r="A69" s="94">
        <v>41214</v>
      </c>
      <c r="E69" s="31">
        <v>81.44</v>
      </c>
    </row>
    <row r="70" spans="1:5" x14ac:dyDescent="0.25">
      <c r="A70" s="102">
        <v>41183</v>
      </c>
      <c r="E70" s="31">
        <v>86.04</v>
      </c>
    </row>
    <row r="71" spans="1:5" x14ac:dyDescent="0.25">
      <c r="A71" s="94">
        <v>41153</v>
      </c>
      <c r="E71" s="31">
        <v>86.21</v>
      </c>
    </row>
    <row r="72" spans="1:5" x14ac:dyDescent="0.25">
      <c r="A72" s="102">
        <v>41122</v>
      </c>
      <c r="E72" s="31">
        <v>84.65</v>
      </c>
    </row>
    <row r="73" spans="1:5" x14ac:dyDescent="0.25">
      <c r="A73" s="94">
        <v>41091</v>
      </c>
      <c r="E73" s="31">
        <v>87.56</v>
      </c>
    </row>
    <row r="74" spans="1:5" x14ac:dyDescent="0.25">
      <c r="A74" s="102">
        <v>41061</v>
      </c>
      <c r="E74" s="31">
        <v>96.65</v>
      </c>
    </row>
    <row r="75" spans="1:5" x14ac:dyDescent="0.25">
      <c r="A75" s="94">
        <v>41030</v>
      </c>
      <c r="E75" s="31">
        <v>102.21</v>
      </c>
    </row>
    <row r="76" spans="1:5" x14ac:dyDescent="0.25">
      <c r="A76" s="102">
        <v>41000</v>
      </c>
      <c r="E76" s="31">
        <v>105.61</v>
      </c>
    </row>
    <row r="77" spans="1:5" x14ac:dyDescent="0.25">
      <c r="A77" s="94">
        <v>40969</v>
      </c>
      <c r="E77" s="31">
        <v>112.87</v>
      </c>
    </row>
    <row r="78" spans="1:5" x14ac:dyDescent="0.25">
      <c r="A78" s="102">
        <v>40940</v>
      </c>
      <c r="E78" s="31">
        <v>111.58</v>
      </c>
    </row>
    <row r="79" spans="1:5" x14ac:dyDescent="0.25">
      <c r="A79" s="94">
        <v>40909</v>
      </c>
      <c r="E79" s="31">
        <v>109.29</v>
      </c>
    </row>
    <row r="80" spans="1:5" x14ac:dyDescent="0.25">
      <c r="A80" s="102">
        <v>40878</v>
      </c>
      <c r="E80" s="31">
        <v>112.67</v>
      </c>
    </row>
    <row r="81" spans="1:5" x14ac:dyDescent="0.25">
      <c r="A81" s="94">
        <v>40848</v>
      </c>
      <c r="E81" s="31">
        <v>116.65</v>
      </c>
    </row>
    <row r="82" spans="1:5" x14ac:dyDescent="0.25">
      <c r="A82" s="102">
        <v>40817</v>
      </c>
      <c r="E82" s="31">
        <v>119.24</v>
      </c>
    </row>
    <row r="83" spans="1:5" x14ac:dyDescent="0.25">
      <c r="A83" s="94">
        <v>40787</v>
      </c>
      <c r="E83" s="31">
        <v>116.26</v>
      </c>
    </row>
    <row r="84" spans="1:5" x14ac:dyDescent="0.25">
      <c r="A84" s="102">
        <v>40756</v>
      </c>
      <c r="E84" s="31">
        <v>117.21</v>
      </c>
    </row>
    <row r="85" spans="1:5" x14ac:dyDescent="0.25">
      <c r="A85" s="94">
        <v>40725</v>
      </c>
      <c r="E85" s="31">
        <v>118.24</v>
      </c>
    </row>
    <row r="86" spans="1:5" x14ac:dyDescent="0.25">
      <c r="A86" s="102">
        <v>40695</v>
      </c>
      <c r="E86" s="31">
        <v>119.03</v>
      </c>
    </row>
    <row r="87" spans="1:5" x14ac:dyDescent="0.25">
      <c r="A87" s="94">
        <v>40664</v>
      </c>
      <c r="E87" s="31">
        <v>117.61</v>
      </c>
    </row>
    <row r="88" spans="1:5" x14ac:dyDescent="0.25">
      <c r="A88" s="102">
        <v>40634</v>
      </c>
      <c r="E88" s="31">
        <v>122.02</v>
      </c>
    </row>
    <row r="89" spans="1:5" x14ac:dyDescent="0.25">
      <c r="A89" s="94">
        <v>40603</v>
      </c>
      <c r="E89" s="31">
        <v>122.43</v>
      </c>
    </row>
    <row r="90" spans="1:5" x14ac:dyDescent="0.25">
      <c r="A90" s="102">
        <v>40575</v>
      </c>
      <c r="E90" s="31">
        <v>127.05</v>
      </c>
    </row>
    <row r="91" spans="1:5" x14ac:dyDescent="0.25">
      <c r="A91" s="94">
        <v>40544</v>
      </c>
      <c r="E91" s="31">
        <v>112.4</v>
      </c>
    </row>
    <row r="92" spans="1:5" x14ac:dyDescent="0.25">
      <c r="A92" s="102">
        <v>40513</v>
      </c>
      <c r="E92" s="31">
        <v>103.41</v>
      </c>
    </row>
    <row r="93" spans="1:5" x14ac:dyDescent="0.25">
      <c r="A93" s="94">
        <v>40483</v>
      </c>
      <c r="E93" s="31">
        <v>95.51</v>
      </c>
    </row>
    <row r="94" spans="1:5" x14ac:dyDescent="0.25">
      <c r="A94" s="102">
        <v>40452</v>
      </c>
      <c r="E94" s="31">
        <v>92.68</v>
      </c>
    </row>
    <row r="95" spans="1:5" x14ac:dyDescent="0.25">
      <c r="A95" s="94">
        <v>40422</v>
      </c>
      <c r="E95" s="31">
        <v>90.05</v>
      </c>
    </row>
    <row r="96" spans="1:5" x14ac:dyDescent="0.25">
      <c r="A96" s="102">
        <v>40391</v>
      </c>
      <c r="E96" s="31">
        <v>94.86</v>
      </c>
    </row>
    <row r="97" spans="1:5" x14ac:dyDescent="0.25">
      <c r="A97" s="94">
        <v>40360</v>
      </c>
      <c r="E97" s="31">
        <v>96.65</v>
      </c>
    </row>
    <row r="98" spans="1:5" x14ac:dyDescent="0.25">
      <c r="A98" s="102">
        <v>40330</v>
      </c>
      <c r="E98" s="31">
        <v>97.22</v>
      </c>
    </row>
    <row r="99" spans="1:5" x14ac:dyDescent="0.25">
      <c r="A99" s="94">
        <v>40299</v>
      </c>
      <c r="E99" s="31">
        <v>92.07</v>
      </c>
    </row>
    <row r="100" spans="1:5" x14ac:dyDescent="0.25">
      <c r="A100" s="102">
        <v>40269</v>
      </c>
      <c r="E100" s="31">
        <v>86.5</v>
      </c>
    </row>
    <row r="101" spans="1:5" x14ac:dyDescent="0.25">
      <c r="A101" s="94">
        <v>40238</v>
      </c>
      <c r="E101" s="31">
        <v>86.64</v>
      </c>
    </row>
    <row r="102" spans="1:5" x14ac:dyDescent="0.25">
      <c r="A102" s="102">
        <v>40210</v>
      </c>
      <c r="E102" s="31">
        <v>87.81</v>
      </c>
    </row>
    <row r="103" spans="1:5" x14ac:dyDescent="0.25">
      <c r="A103" s="94">
        <v>40179</v>
      </c>
      <c r="E103" s="31">
        <v>77.39</v>
      </c>
    </row>
    <row r="104" spans="1:5" x14ac:dyDescent="0.25">
      <c r="A104" s="102">
        <v>40148</v>
      </c>
      <c r="E104" s="31">
        <v>74.510000000000005</v>
      </c>
    </row>
    <row r="105" spans="1:5" x14ac:dyDescent="0.25">
      <c r="A105" s="94">
        <v>40118</v>
      </c>
      <c r="E105" s="31">
        <v>68.989999999999995</v>
      </c>
    </row>
    <row r="106" spans="1:5" x14ac:dyDescent="0.25">
      <c r="A106" s="102">
        <v>40087</v>
      </c>
      <c r="E106" s="31">
        <v>66.709999999999994</v>
      </c>
    </row>
    <row r="107" spans="1:5" x14ac:dyDescent="0.25">
      <c r="A107" s="94">
        <v>40057</v>
      </c>
      <c r="E107" s="31">
        <v>70.44</v>
      </c>
    </row>
    <row r="108" spans="1:5" x14ac:dyDescent="0.25">
      <c r="A108" s="102">
        <v>40026</v>
      </c>
      <c r="E108" s="31">
        <v>71.47</v>
      </c>
    </row>
    <row r="109" spans="1:5" x14ac:dyDescent="0.25">
      <c r="A109" s="94">
        <v>39995</v>
      </c>
      <c r="E109" s="31">
        <v>71.290000000000006</v>
      </c>
    </row>
    <row r="110" spans="1:5" x14ac:dyDescent="0.25">
      <c r="A110" s="102">
        <v>39965</v>
      </c>
      <c r="E110" s="31">
        <v>63.87</v>
      </c>
    </row>
    <row r="111" spans="1:5" x14ac:dyDescent="0.25">
      <c r="A111" s="94">
        <v>39934</v>
      </c>
      <c r="E111" s="31">
        <v>62.83</v>
      </c>
    </row>
    <row r="112" spans="1:5" x14ac:dyDescent="0.25">
      <c r="A112" s="102">
        <v>39904</v>
      </c>
      <c r="E112" s="31">
        <v>63.08</v>
      </c>
    </row>
    <row r="113" spans="1:5" x14ac:dyDescent="0.25">
      <c r="A113" s="94">
        <v>39873</v>
      </c>
      <c r="E113" s="31">
        <v>75.11</v>
      </c>
    </row>
    <row r="114" spans="1:5" x14ac:dyDescent="0.25">
      <c r="A114" s="102">
        <v>39845</v>
      </c>
      <c r="E114" s="31">
        <v>81.349999999999994</v>
      </c>
    </row>
    <row r="115" spans="1:5" x14ac:dyDescent="0.25">
      <c r="A115" s="94">
        <v>39814</v>
      </c>
      <c r="E115" s="31">
        <v>78.7</v>
      </c>
    </row>
  </sheetData>
  <mergeCells count="6">
    <mergeCell ref="B3:D3"/>
    <mergeCell ref="B4:D4"/>
    <mergeCell ref="B5:D5"/>
    <mergeCell ref="B6:D6"/>
    <mergeCell ref="B7:D7"/>
    <mergeCell ref="B8:D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67"/>
  <sheetViews>
    <sheetView workbookViewId="0">
      <selection activeCell="D5" sqref="D5"/>
    </sheetView>
  </sheetViews>
  <sheetFormatPr defaultRowHeight="15" x14ac:dyDescent="0.25"/>
  <cols>
    <col min="1" max="1" width="17.5703125" bestFit="1" customWidth="1"/>
    <col min="2" max="2" width="14.85546875" style="140" bestFit="1" customWidth="1"/>
    <col min="3" max="3" width="12.42578125" bestFit="1" customWidth="1"/>
    <col min="4" max="8" width="12.42578125" customWidth="1"/>
  </cols>
  <sheetData>
    <row r="3" spans="1:8" x14ac:dyDescent="0.25">
      <c r="A3" s="105"/>
      <c r="B3" s="106"/>
    </row>
    <row r="5" spans="1:8" ht="84" customHeight="1" x14ac:dyDescent="0.25">
      <c r="A5" s="107" t="s">
        <v>47</v>
      </c>
      <c r="B5" s="107" t="s">
        <v>48</v>
      </c>
      <c r="C5" s="107" t="s">
        <v>49</v>
      </c>
      <c r="D5" s="107" t="s">
        <v>50</v>
      </c>
      <c r="E5" s="108" t="s">
        <v>51</v>
      </c>
      <c r="F5" s="108" t="s">
        <v>52</v>
      </c>
      <c r="G5" s="108" t="s">
        <v>53</v>
      </c>
      <c r="H5" s="108" t="s">
        <v>54</v>
      </c>
    </row>
    <row r="6" spans="1:8" ht="15.75" x14ac:dyDescent="0.25">
      <c r="A6" s="109">
        <v>41883</v>
      </c>
      <c r="B6" s="110">
        <v>61.375</v>
      </c>
      <c r="C6" s="110">
        <v>91.44</v>
      </c>
      <c r="D6" s="110">
        <f t="shared" ref="D6:D37" si="0">(B6*C6)/1000</f>
        <v>5.6121300000000005</v>
      </c>
      <c r="E6" s="111">
        <v>9.3614336363636355</v>
      </c>
      <c r="F6" s="110"/>
      <c r="G6" s="110"/>
      <c r="H6" s="110"/>
    </row>
    <row r="7" spans="1:8" ht="15.75" x14ac:dyDescent="0.25">
      <c r="A7" s="112">
        <v>41913</v>
      </c>
      <c r="B7" s="113">
        <v>62.174999999999997</v>
      </c>
      <c r="C7" s="113">
        <v>80.930000000000007</v>
      </c>
      <c r="D7" s="113">
        <f t="shared" si="0"/>
        <v>5.0318227499999999</v>
      </c>
      <c r="E7" s="111">
        <v>8.9854000000000003</v>
      </c>
      <c r="F7" s="113"/>
      <c r="G7" s="113"/>
      <c r="H7" s="113"/>
    </row>
    <row r="8" spans="1:8" ht="15.75" x14ac:dyDescent="0.25">
      <c r="A8" s="109">
        <v>41944</v>
      </c>
      <c r="B8" s="110">
        <v>62.25</v>
      </c>
      <c r="C8" s="110">
        <v>66.67</v>
      </c>
      <c r="D8" s="110">
        <f t="shared" si="0"/>
        <v>4.1502075000000005</v>
      </c>
      <c r="E8" s="111">
        <v>8.5277200000000004</v>
      </c>
      <c r="F8" s="110"/>
      <c r="G8" s="110"/>
      <c r="H8" s="110"/>
    </row>
    <row r="9" spans="1:8" ht="15.75" x14ac:dyDescent="0.25">
      <c r="A9" s="109">
        <v>41974</v>
      </c>
      <c r="B9" s="110">
        <v>63.174999999999997</v>
      </c>
      <c r="C9" s="110">
        <v>54.31</v>
      </c>
      <c r="D9" s="110">
        <f t="shared" si="0"/>
        <v>3.4310342500000002</v>
      </c>
      <c r="E9" s="111">
        <v>8.4132999999999996</v>
      </c>
      <c r="F9" s="114">
        <f>D6</f>
        <v>5.6121300000000005</v>
      </c>
      <c r="G9" s="115">
        <f t="shared" ref="G9:G25" si="1">E9/E8</f>
        <v>0.98658258010347422</v>
      </c>
      <c r="H9" s="115"/>
    </row>
    <row r="10" spans="1:8" ht="15.75" x14ac:dyDescent="0.25">
      <c r="A10" s="109">
        <v>42005</v>
      </c>
      <c r="B10" s="110">
        <v>63.05</v>
      </c>
      <c r="C10" s="110">
        <v>48.79</v>
      </c>
      <c r="D10" s="110">
        <f t="shared" si="0"/>
        <v>3.0762095</v>
      </c>
      <c r="E10" s="111">
        <v>8.411266666666668</v>
      </c>
      <c r="F10" s="114">
        <f t="shared" ref="F10:F40" si="2">D7</f>
        <v>5.0318227499999999</v>
      </c>
      <c r="G10" s="115">
        <f>E10/E9</f>
        <v>0.99975831916925206</v>
      </c>
      <c r="H10" s="115">
        <f t="shared" ref="H10:H40" si="3">F10/F9</f>
        <v>0.89659768216345659</v>
      </c>
    </row>
    <row r="11" spans="1:8" ht="15.75" x14ac:dyDescent="0.25">
      <c r="A11" s="109">
        <v>42036</v>
      </c>
      <c r="B11" s="110">
        <v>62.625</v>
      </c>
      <c r="C11" s="110">
        <v>50.69</v>
      </c>
      <c r="D11" s="110">
        <f t="shared" si="0"/>
        <v>3.1744612499999998</v>
      </c>
      <c r="E11" s="111">
        <v>8.2923024999999981</v>
      </c>
      <c r="F11" s="114">
        <f t="shared" si="2"/>
        <v>4.1502075000000005</v>
      </c>
      <c r="G11" s="115">
        <f t="shared" si="1"/>
        <v>0.98585656936331389</v>
      </c>
      <c r="H11" s="115">
        <f t="shared" si="3"/>
        <v>0.82479206963321605</v>
      </c>
    </row>
    <row r="12" spans="1:8" ht="15.75" x14ac:dyDescent="0.25">
      <c r="A12" s="112">
        <v>42064</v>
      </c>
      <c r="B12" s="113">
        <v>62.9</v>
      </c>
      <c r="C12" s="113">
        <v>48.24</v>
      </c>
      <c r="D12" s="113">
        <f t="shared" si="0"/>
        <v>3.0342960000000003</v>
      </c>
      <c r="E12" s="111">
        <v>7.9114371428571424</v>
      </c>
      <c r="F12" s="114">
        <f t="shared" si="2"/>
        <v>3.4310342500000002</v>
      </c>
      <c r="G12" s="115">
        <f t="shared" si="1"/>
        <v>0.95407001165926397</v>
      </c>
      <c r="H12" s="115">
        <f t="shared" si="3"/>
        <v>0.8267139052685919</v>
      </c>
    </row>
    <row r="13" spans="1:8" ht="15.75" x14ac:dyDescent="0.25">
      <c r="A13" s="116">
        <v>42095</v>
      </c>
      <c r="B13" s="117">
        <v>63.2</v>
      </c>
      <c r="C13" s="110">
        <v>60.16</v>
      </c>
      <c r="D13" s="110">
        <f t="shared" si="0"/>
        <v>3.8021120000000002</v>
      </c>
      <c r="E13" s="111">
        <v>7.9176799999999989</v>
      </c>
      <c r="F13" s="114">
        <f t="shared" si="2"/>
        <v>3.0762095</v>
      </c>
      <c r="G13" s="115">
        <f t="shared" si="1"/>
        <v>1.0007890926806506</v>
      </c>
      <c r="H13" s="115">
        <f t="shared" si="3"/>
        <v>0.89658373419035375</v>
      </c>
    </row>
    <row r="14" spans="1:8" ht="15.75" x14ac:dyDescent="0.25">
      <c r="A14" s="116">
        <v>42125</v>
      </c>
      <c r="B14" s="117">
        <v>64.349999999999994</v>
      </c>
      <c r="C14" s="110">
        <v>60.49</v>
      </c>
      <c r="D14" s="110">
        <f t="shared" si="0"/>
        <v>3.8925314999999996</v>
      </c>
      <c r="E14" s="111">
        <v>7.9251714285714279</v>
      </c>
      <c r="F14" s="114">
        <f t="shared" si="2"/>
        <v>3.1744612499999998</v>
      </c>
      <c r="G14" s="115">
        <f t="shared" si="1"/>
        <v>1.0009461646052162</v>
      </c>
      <c r="H14" s="115">
        <f t="shared" si="3"/>
        <v>1.0319392258557163</v>
      </c>
    </row>
    <row r="15" spans="1:8" ht="15.75" x14ac:dyDescent="0.25">
      <c r="A15" s="116">
        <v>42156</v>
      </c>
      <c r="B15" s="117">
        <v>64.55</v>
      </c>
      <c r="C15" s="110">
        <v>59.48</v>
      </c>
      <c r="D15" s="110">
        <f t="shared" si="0"/>
        <v>3.8394339999999998</v>
      </c>
      <c r="E15" s="111">
        <v>8.0224650000000004</v>
      </c>
      <c r="F15" s="114">
        <f t="shared" si="2"/>
        <v>3.0342960000000003</v>
      </c>
      <c r="G15" s="115">
        <f t="shared" si="1"/>
        <v>1.0122765257894377</v>
      </c>
      <c r="H15" s="115">
        <f t="shared" si="3"/>
        <v>0.95584597228899881</v>
      </c>
    </row>
    <row r="16" spans="1:8" ht="15.75" x14ac:dyDescent="0.25">
      <c r="A16" s="116">
        <v>42186</v>
      </c>
      <c r="B16" s="117">
        <v>64.099999999999994</v>
      </c>
      <c r="C16" s="110">
        <v>47.11</v>
      </c>
      <c r="D16" s="110">
        <f t="shared" si="0"/>
        <v>3.0197509999999999</v>
      </c>
      <c r="E16" s="111">
        <v>8.2609285714285736</v>
      </c>
      <c r="F16" s="114">
        <f t="shared" si="2"/>
        <v>3.8021120000000002</v>
      </c>
      <c r="G16" s="115">
        <f t="shared" si="1"/>
        <v>1.0297244763833278</v>
      </c>
      <c r="H16" s="115">
        <f t="shared" si="3"/>
        <v>1.2530458465489194</v>
      </c>
    </row>
    <row r="17" spans="1:8" ht="15.75" x14ac:dyDescent="0.25">
      <c r="A17" s="116">
        <v>42217</v>
      </c>
      <c r="B17" s="117">
        <v>65.75</v>
      </c>
      <c r="C17" s="110">
        <v>45.63</v>
      </c>
      <c r="D17" s="110">
        <f t="shared" si="0"/>
        <v>3.0001725000000001</v>
      </c>
      <c r="E17" s="111">
        <v>8.0327082352941179</v>
      </c>
      <c r="F17" s="114">
        <f t="shared" si="2"/>
        <v>3.8925314999999996</v>
      </c>
      <c r="G17" s="115">
        <f t="shared" si="1"/>
        <v>0.97237352506305608</v>
      </c>
      <c r="H17" s="115">
        <f t="shared" si="3"/>
        <v>1.0237813878181388</v>
      </c>
    </row>
    <row r="18" spans="1:8" ht="15.75" x14ac:dyDescent="0.25">
      <c r="A18" s="116">
        <v>42248</v>
      </c>
      <c r="B18" s="117">
        <v>67.05</v>
      </c>
      <c r="C18" s="118">
        <v>45.05</v>
      </c>
      <c r="D18" s="110">
        <f t="shared" si="0"/>
        <v>3.0206024999999994</v>
      </c>
      <c r="E18" s="111">
        <v>8.2422000000000004</v>
      </c>
      <c r="F18" s="114">
        <f t="shared" si="2"/>
        <v>3.8394339999999998</v>
      </c>
      <c r="G18" s="115">
        <f t="shared" si="1"/>
        <v>1.0260798423855877</v>
      </c>
      <c r="H18" s="115">
        <f t="shared" si="3"/>
        <v>0.98635913415215781</v>
      </c>
    </row>
    <row r="19" spans="1:8" ht="15.75" x14ac:dyDescent="0.25">
      <c r="A19" s="116">
        <v>42278</v>
      </c>
      <c r="B19" s="117">
        <v>65.349999999999994</v>
      </c>
      <c r="C19" s="119">
        <v>46.3</v>
      </c>
      <c r="D19" s="110">
        <f t="shared" si="0"/>
        <v>3.0257049999999994</v>
      </c>
      <c r="E19" s="111">
        <v>7.7379399999999992</v>
      </c>
      <c r="F19" s="114">
        <f t="shared" si="2"/>
        <v>3.0197509999999999</v>
      </c>
      <c r="G19" s="115">
        <f t="shared" si="1"/>
        <v>0.93881973259566609</v>
      </c>
      <c r="H19" s="115">
        <f t="shared" si="3"/>
        <v>0.78650941779439365</v>
      </c>
    </row>
    <row r="20" spans="1:8" ht="15.75" x14ac:dyDescent="0.25">
      <c r="A20" s="116">
        <v>42309</v>
      </c>
      <c r="B20" s="117">
        <v>66.7</v>
      </c>
      <c r="C20" s="120">
        <v>41.65</v>
      </c>
      <c r="D20" s="110">
        <f t="shared" si="0"/>
        <v>2.7780549999999997</v>
      </c>
      <c r="E20" s="92">
        <v>6.29</v>
      </c>
      <c r="F20" s="114">
        <f t="shared" si="2"/>
        <v>3.0001725000000001</v>
      </c>
      <c r="G20" s="115">
        <f t="shared" si="1"/>
        <v>0.81287784604171143</v>
      </c>
      <c r="H20" s="115">
        <f t="shared" si="3"/>
        <v>0.99351651841492905</v>
      </c>
    </row>
    <row r="21" spans="1:8" ht="15.75" x14ac:dyDescent="0.25">
      <c r="A21" s="116">
        <v>42339</v>
      </c>
      <c r="B21" s="117">
        <v>67.2</v>
      </c>
      <c r="C21" s="119">
        <v>37.04</v>
      </c>
      <c r="D21" s="110">
        <f t="shared" si="0"/>
        <v>2.4890880000000002</v>
      </c>
      <c r="E21" s="92">
        <v>5.35</v>
      </c>
      <c r="F21" s="114">
        <f t="shared" si="2"/>
        <v>3.0206024999999994</v>
      </c>
      <c r="G21" s="115">
        <f t="shared" si="1"/>
        <v>0.85055643879173282</v>
      </c>
      <c r="H21" s="115">
        <f t="shared" si="3"/>
        <v>1.006809608447514</v>
      </c>
    </row>
    <row r="22" spans="1:8" ht="15.75" x14ac:dyDescent="0.25">
      <c r="A22" s="116">
        <v>42370</v>
      </c>
      <c r="B22" s="117">
        <v>67.349999999999994</v>
      </c>
      <c r="C22" s="119">
        <v>33.619999999999997</v>
      </c>
      <c r="D22" s="110">
        <f t="shared" si="0"/>
        <v>2.2643069999999996</v>
      </c>
      <c r="E22" s="111">
        <v>5.12</v>
      </c>
      <c r="F22" s="114">
        <f t="shared" si="2"/>
        <v>3.0257049999999994</v>
      </c>
      <c r="G22" s="115">
        <f t="shared" si="1"/>
        <v>0.95700934579439256</v>
      </c>
      <c r="H22" s="115">
        <f t="shared" si="3"/>
        <v>1.0016892325289408</v>
      </c>
    </row>
    <row r="23" spans="1:8" ht="15.75" x14ac:dyDescent="0.25">
      <c r="A23" s="116">
        <v>42401</v>
      </c>
      <c r="B23" s="121">
        <v>68.95</v>
      </c>
      <c r="C23" s="119">
        <v>33.75</v>
      </c>
      <c r="D23" s="110">
        <f t="shared" si="0"/>
        <v>2.3270624999999998</v>
      </c>
      <c r="E23" s="111">
        <v>5.44</v>
      </c>
      <c r="F23" s="114">
        <f t="shared" si="2"/>
        <v>2.7780549999999997</v>
      </c>
      <c r="G23" s="115">
        <f t="shared" si="1"/>
        <v>1.0625</v>
      </c>
      <c r="H23" s="115">
        <f t="shared" si="3"/>
        <v>0.91815130688550284</v>
      </c>
    </row>
    <row r="24" spans="1:8" ht="15.75" x14ac:dyDescent="0.25">
      <c r="A24" s="116">
        <v>42430</v>
      </c>
      <c r="B24" s="121">
        <v>67.45</v>
      </c>
      <c r="C24" s="119">
        <v>38.340000000000003</v>
      </c>
      <c r="D24" s="110">
        <f t="shared" si="0"/>
        <v>2.5860330000000005</v>
      </c>
      <c r="E24" s="111">
        <v>5.95</v>
      </c>
      <c r="F24" s="114">
        <f t="shared" si="2"/>
        <v>2.4890880000000002</v>
      </c>
      <c r="G24" s="115">
        <f t="shared" si="1"/>
        <v>1.09375</v>
      </c>
      <c r="H24" s="115">
        <f t="shared" si="3"/>
        <v>0.89598226097035527</v>
      </c>
    </row>
    <row r="25" spans="1:8" ht="15.75" x14ac:dyDescent="0.25">
      <c r="A25" s="116">
        <v>42461</v>
      </c>
      <c r="B25" s="117">
        <v>66.900000000000006</v>
      </c>
      <c r="C25" s="119">
        <v>45.92</v>
      </c>
      <c r="D25" s="110">
        <f t="shared" si="0"/>
        <v>3.0720480000000001</v>
      </c>
      <c r="E25" s="111">
        <v>6.18</v>
      </c>
      <c r="F25" s="114">
        <f t="shared" si="2"/>
        <v>2.2643069999999996</v>
      </c>
      <c r="G25" s="115">
        <f t="shared" si="1"/>
        <v>1.0386554621848738</v>
      </c>
      <c r="H25" s="115">
        <f t="shared" si="3"/>
        <v>0.90969342988275204</v>
      </c>
    </row>
    <row r="26" spans="1:8" ht="15.75" x14ac:dyDescent="0.25">
      <c r="A26" s="116">
        <v>42491</v>
      </c>
      <c r="B26" s="117">
        <v>68.05</v>
      </c>
      <c r="C26" s="119">
        <v>47.07</v>
      </c>
      <c r="D26" s="110">
        <f t="shared" si="0"/>
        <v>3.2031134999999997</v>
      </c>
      <c r="E26" s="111">
        <v>6.95</v>
      </c>
      <c r="F26" s="114">
        <f t="shared" si="2"/>
        <v>2.3270624999999998</v>
      </c>
      <c r="G26" s="115">
        <f>E26/E25</f>
        <v>1.1245954692556634</v>
      </c>
      <c r="H26" s="115">
        <f t="shared" si="3"/>
        <v>1.0277151022365785</v>
      </c>
    </row>
    <row r="27" spans="1:8" ht="15.75" x14ac:dyDescent="0.25">
      <c r="A27" s="109">
        <v>42537</v>
      </c>
      <c r="B27" s="122">
        <v>68.2</v>
      </c>
      <c r="C27" s="119">
        <v>48</v>
      </c>
      <c r="D27" s="119">
        <f t="shared" si="0"/>
        <v>3.2736000000000005</v>
      </c>
      <c r="E27" s="115">
        <v>7.42</v>
      </c>
      <c r="F27" s="114">
        <f t="shared" si="2"/>
        <v>2.5860330000000005</v>
      </c>
      <c r="G27" s="115">
        <f t="shared" ref="G27:G40" si="4">E27/E26</f>
        <v>1.0676258992805756</v>
      </c>
      <c r="H27" s="115">
        <f t="shared" si="3"/>
        <v>1.1112864394488764</v>
      </c>
    </row>
    <row r="28" spans="1:8" ht="15.75" x14ac:dyDescent="0.25">
      <c r="A28" s="109">
        <v>42567</v>
      </c>
      <c r="B28" s="122">
        <v>67.75</v>
      </c>
      <c r="C28" s="119">
        <v>47</v>
      </c>
      <c r="D28" s="119">
        <f t="shared" si="0"/>
        <v>3.18425</v>
      </c>
      <c r="E28" s="115">
        <v>8.15</v>
      </c>
      <c r="F28" s="114">
        <f t="shared" si="2"/>
        <v>3.0720480000000001</v>
      </c>
      <c r="G28" s="115">
        <f t="shared" si="4"/>
        <v>1.0983827493261455</v>
      </c>
      <c r="H28" s="115">
        <f t="shared" si="3"/>
        <v>1.1879384369805024</v>
      </c>
    </row>
    <row r="29" spans="1:8" ht="15.75" x14ac:dyDescent="0.25">
      <c r="A29" s="109">
        <v>42583</v>
      </c>
      <c r="B29" s="122">
        <v>67.180000000000007</v>
      </c>
      <c r="C29" s="122">
        <v>47</v>
      </c>
      <c r="D29" s="119">
        <f t="shared" si="0"/>
        <v>3.1574600000000004</v>
      </c>
      <c r="E29" s="115">
        <v>8.5</v>
      </c>
      <c r="F29" s="114">
        <f t="shared" si="2"/>
        <v>3.2031134999999997</v>
      </c>
      <c r="G29" s="115">
        <f t="shared" si="4"/>
        <v>1.0429447852760736</v>
      </c>
      <c r="H29" s="115">
        <f t="shared" si="3"/>
        <v>1.04266388415806</v>
      </c>
    </row>
    <row r="30" spans="1:8" ht="15.75" x14ac:dyDescent="0.25">
      <c r="A30" s="109">
        <v>42629</v>
      </c>
      <c r="B30" s="122">
        <v>67.75</v>
      </c>
      <c r="C30" s="122">
        <v>46</v>
      </c>
      <c r="D30" s="122">
        <f t="shared" si="0"/>
        <v>3.1164999999999998</v>
      </c>
      <c r="E30" s="123">
        <v>8.7799999999999994</v>
      </c>
      <c r="F30" s="114">
        <f t="shared" si="2"/>
        <v>3.2736000000000005</v>
      </c>
      <c r="G30" s="115">
        <f t="shared" si="4"/>
        <v>1.0329411764705883</v>
      </c>
      <c r="H30" s="115">
        <f t="shared" si="3"/>
        <v>1.0220056204689596</v>
      </c>
    </row>
    <row r="31" spans="1:8" ht="15.75" x14ac:dyDescent="0.25">
      <c r="A31" s="124">
        <v>42644</v>
      </c>
      <c r="B31" s="125">
        <v>67.900000000000006</v>
      </c>
      <c r="C31" s="126">
        <v>46</v>
      </c>
      <c r="D31" s="125">
        <f t="shared" si="0"/>
        <v>3.1234000000000002</v>
      </c>
      <c r="E31" s="127">
        <v>8.7100000000000009</v>
      </c>
      <c r="F31" s="114">
        <f t="shared" si="2"/>
        <v>3.18425</v>
      </c>
      <c r="G31" s="128">
        <f t="shared" si="4"/>
        <v>0.99202733485193639</v>
      </c>
      <c r="H31" s="128">
        <f t="shared" si="3"/>
        <v>0.9727058895405668</v>
      </c>
    </row>
    <row r="32" spans="1:8" ht="15.75" x14ac:dyDescent="0.25">
      <c r="A32" s="124">
        <v>42675</v>
      </c>
      <c r="B32" s="125">
        <v>67.75</v>
      </c>
      <c r="C32" s="126">
        <v>47</v>
      </c>
      <c r="D32" s="125">
        <f t="shared" si="0"/>
        <v>3.18425</v>
      </c>
      <c r="E32" s="127">
        <v>8.6999999999999993</v>
      </c>
      <c r="F32" s="114">
        <f t="shared" si="2"/>
        <v>3.1574600000000004</v>
      </c>
      <c r="G32" s="128">
        <f t="shared" si="4"/>
        <v>0.99885189437428223</v>
      </c>
      <c r="H32" s="128">
        <f t="shared" si="3"/>
        <v>0.99158671586715874</v>
      </c>
    </row>
    <row r="33" spans="1:8" ht="15.75" x14ac:dyDescent="0.25">
      <c r="A33" s="124">
        <v>42721</v>
      </c>
      <c r="B33" s="125">
        <v>67.75</v>
      </c>
      <c r="C33" s="126">
        <v>54</v>
      </c>
      <c r="D33" s="125">
        <f t="shared" si="0"/>
        <v>3.6585000000000001</v>
      </c>
      <c r="E33" s="127">
        <v>8.4</v>
      </c>
      <c r="F33" s="114">
        <f t="shared" si="2"/>
        <v>3.1164999999999998</v>
      </c>
      <c r="G33" s="128">
        <f>E33/E32</f>
        <v>0.9655172413793105</v>
      </c>
      <c r="H33" s="128">
        <f t="shared" si="3"/>
        <v>0.98702754745903332</v>
      </c>
    </row>
    <row r="34" spans="1:8" ht="15.75" x14ac:dyDescent="0.25">
      <c r="A34" s="124">
        <v>42736</v>
      </c>
      <c r="B34" s="125">
        <v>68.8</v>
      </c>
      <c r="C34" s="126">
        <v>54.38</v>
      </c>
      <c r="D34" s="125">
        <f t="shared" si="0"/>
        <v>3.7413440000000002</v>
      </c>
      <c r="E34" s="129">
        <v>8</v>
      </c>
      <c r="F34" s="114">
        <f t="shared" si="2"/>
        <v>3.1234000000000002</v>
      </c>
      <c r="G34" s="128">
        <f t="shared" si="4"/>
        <v>0.95238095238095233</v>
      </c>
      <c r="H34" s="128">
        <f t="shared" si="3"/>
        <v>1.0022140221402216</v>
      </c>
    </row>
    <row r="35" spans="1:8" ht="15.75" x14ac:dyDescent="0.25">
      <c r="A35" s="109">
        <v>42767</v>
      </c>
      <c r="B35" s="130">
        <v>68.2</v>
      </c>
      <c r="C35" s="131">
        <v>54.86</v>
      </c>
      <c r="D35" s="130">
        <f t="shared" si="0"/>
        <v>3.7414520000000002</v>
      </c>
      <c r="E35" s="129">
        <v>7.9</v>
      </c>
      <c r="F35" s="114">
        <f t="shared" si="2"/>
        <v>3.18425</v>
      </c>
      <c r="G35" s="132">
        <f t="shared" si="4"/>
        <v>0.98750000000000004</v>
      </c>
      <c r="H35" s="115">
        <f t="shared" si="3"/>
        <v>1.0194819747710828</v>
      </c>
    </row>
    <row r="36" spans="1:8" ht="15.75" x14ac:dyDescent="0.25">
      <c r="A36" s="133">
        <v>42795</v>
      </c>
      <c r="B36" s="134">
        <v>66.900000000000006</v>
      </c>
      <c r="C36" s="135">
        <v>51.58</v>
      </c>
      <c r="D36" s="125">
        <f t="shared" si="0"/>
        <v>3.4507020000000002</v>
      </c>
      <c r="E36" s="129">
        <v>8</v>
      </c>
      <c r="F36" s="114">
        <f t="shared" si="2"/>
        <v>3.6585000000000001</v>
      </c>
      <c r="G36" s="115">
        <f t="shared" si="4"/>
        <v>1.0126582278481011</v>
      </c>
      <c r="H36" s="115">
        <f t="shared" si="3"/>
        <v>1.1489361702127661</v>
      </c>
    </row>
    <row r="37" spans="1:8" ht="15.75" x14ac:dyDescent="0.25">
      <c r="A37" s="136">
        <v>42826</v>
      </c>
      <c r="B37" s="134"/>
      <c r="C37" s="135"/>
      <c r="D37" s="125">
        <f t="shared" si="0"/>
        <v>0</v>
      </c>
      <c r="E37" s="129">
        <v>8.3000000000000007</v>
      </c>
      <c r="F37" s="114">
        <f t="shared" si="2"/>
        <v>3.7413440000000002</v>
      </c>
      <c r="G37" s="115">
        <f t="shared" si="4"/>
        <v>1.0375000000000001</v>
      </c>
      <c r="H37" s="115">
        <f t="shared" si="3"/>
        <v>1.0226442531091977</v>
      </c>
    </row>
    <row r="38" spans="1:8" ht="15.75" x14ac:dyDescent="0.25">
      <c r="A38" s="109">
        <v>42856</v>
      </c>
      <c r="B38" s="137"/>
      <c r="C38" s="31"/>
      <c r="D38" s="31"/>
      <c r="E38" s="129">
        <v>8.3000000000000007</v>
      </c>
      <c r="F38" s="114">
        <f t="shared" si="2"/>
        <v>3.7414520000000002</v>
      </c>
      <c r="G38" s="115">
        <f t="shared" si="4"/>
        <v>1</v>
      </c>
      <c r="H38" s="115">
        <f t="shared" si="3"/>
        <v>1.0000288666318842</v>
      </c>
    </row>
    <row r="39" spans="1:8" ht="15.75" x14ac:dyDescent="0.25">
      <c r="A39" s="138">
        <v>42887</v>
      </c>
      <c r="B39" s="137"/>
      <c r="C39" s="31"/>
      <c r="D39" s="31"/>
      <c r="E39" s="129">
        <v>7.9</v>
      </c>
      <c r="F39" s="114">
        <f t="shared" si="2"/>
        <v>3.4507020000000002</v>
      </c>
      <c r="G39" s="115">
        <f t="shared" si="4"/>
        <v>0.95180722891566261</v>
      </c>
      <c r="H39" s="115">
        <f t="shared" si="3"/>
        <v>0.92228952823663113</v>
      </c>
    </row>
    <row r="40" spans="1:8" ht="15.75" x14ac:dyDescent="0.25">
      <c r="A40" s="139">
        <v>42917</v>
      </c>
      <c r="B40" s="137"/>
      <c r="C40" s="31"/>
      <c r="D40" s="31"/>
      <c r="E40" s="129"/>
      <c r="F40" s="114">
        <f t="shared" si="2"/>
        <v>0</v>
      </c>
      <c r="G40" s="115">
        <f t="shared" si="4"/>
        <v>0</v>
      </c>
      <c r="H40" s="115">
        <f t="shared" si="3"/>
        <v>0</v>
      </c>
    </row>
    <row r="41" spans="1:8" ht="15.75" x14ac:dyDescent="0.25">
      <c r="A41" s="136"/>
      <c r="E41" s="141"/>
      <c r="G41" s="142"/>
    </row>
    <row r="42" spans="1:8" ht="15.75" x14ac:dyDescent="0.25">
      <c r="A42" s="136"/>
      <c r="E42" s="141"/>
      <c r="G42" s="142"/>
    </row>
    <row r="43" spans="1:8" ht="15.75" x14ac:dyDescent="0.25">
      <c r="A43" s="136"/>
      <c r="E43" s="141"/>
      <c r="G43" s="142"/>
    </row>
    <row r="44" spans="1:8" ht="15.75" x14ac:dyDescent="0.25">
      <c r="A44" s="136"/>
      <c r="E44" s="141"/>
      <c r="G44" s="142"/>
    </row>
    <row r="45" spans="1:8" x14ac:dyDescent="0.25">
      <c r="A45" s="100" t="s">
        <v>55</v>
      </c>
      <c r="B45" s="143"/>
      <c r="C45" s="100"/>
      <c r="D45" s="100"/>
      <c r="E45" s="100"/>
      <c r="F45" s="100"/>
      <c r="G45" s="100"/>
      <c r="H45" s="100"/>
    </row>
    <row r="47" spans="1:8" x14ac:dyDescent="0.25">
      <c r="G47">
        <f>CORREL(G25:G33,H25:H33)</f>
        <v>0.57324937124504938</v>
      </c>
    </row>
    <row r="50" spans="1:8" x14ac:dyDescent="0.25">
      <c r="A50" s="31" t="s">
        <v>56</v>
      </c>
      <c r="B50" s="137"/>
      <c r="C50" s="31"/>
      <c r="D50" s="31"/>
      <c r="E50" s="31"/>
      <c r="F50" s="31"/>
      <c r="G50" s="31"/>
      <c r="H50" s="31"/>
    </row>
    <row r="51" spans="1:8" x14ac:dyDescent="0.25">
      <c r="A51" s="31"/>
      <c r="B51" s="137"/>
      <c r="C51" s="31"/>
      <c r="D51" s="31"/>
      <c r="E51" s="31"/>
      <c r="F51" s="31"/>
      <c r="G51" s="31"/>
      <c r="H51" s="31"/>
    </row>
    <row r="52" spans="1:8" x14ac:dyDescent="0.25">
      <c r="A52" s="31" t="s">
        <v>57</v>
      </c>
      <c r="B52" s="137" t="s">
        <v>58</v>
      </c>
      <c r="C52" s="31" t="s">
        <v>59</v>
      </c>
      <c r="D52" s="31"/>
      <c r="E52" s="31"/>
      <c r="F52" s="31"/>
      <c r="G52" s="31"/>
      <c r="H52" s="31"/>
    </row>
    <row r="53" spans="1:8" x14ac:dyDescent="0.25">
      <c r="A53" s="31">
        <v>30</v>
      </c>
      <c r="B53" s="137">
        <v>67</v>
      </c>
      <c r="C53" s="31">
        <f>A53*B53</f>
        <v>2010</v>
      </c>
      <c r="D53" s="31"/>
      <c r="E53" s="31"/>
      <c r="F53" s="31"/>
      <c r="G53" s="31"/>
      <c r="H53" s="31"/>
    </row>
    <row r="54" spans="1:8" x14ac:dyDescent="0.25">
      <c r="A54" s="31"/>
      <c r="B54" s="137"/>
      <c r="C54" s="31"/>
      <c r="D54" s="31"/>
      <c r="E54" s="31"/>
      <c r="F54" s="31"/>
      <c r="G54" s="31"/>
      <c r="H54" s="31"/>
    </row>
    <row r="55" spans="1:8" x14ac:dyDescent="0.25">
      <c r="A55" s="31">
        <v>30</v>
      </c>
      <c r="B55" s="137">
        <v>66</v>
      </c>
      <c r="C55" s="31">
        <f>A55*B55</f>
        <v>1980</v>
      </c>
      <c r="D55" s="31"/>
      <c r="E55" s="31"/>
      <c r="F55" s="31"/>
      <c r="G55" s="31"/>
      <c r="H55" s="31"/>
    </row>
    <row r="56" spans="1:8" x14ac:dyDescent="0.25">
      <c r="A56" s="31"/>
      <c r="B56" s="137"/>
      <c r="C56" s="31"/>
      <c r="D56" s="31"/>
      <c r="E56" s="31"/>
      <c r="F56" s="31"/>
      <c r="G56" s="31"/>
      <c r="H56" s="31"/>
    </row>
    <row r="57" spans="1:8" x14ac:dyDescent="0.25">
      <c r="A57" s="31">
        <v>35</v>
      </c>
      <c r="B57" s="137">
        <v>68</v>
      </c>
      <c r="C57" s="31">
        <f>A57*B57</f>
        <v>2380</v>
      </c>
      <c r="D57" s="31"/>
      <c r="E57" s="31"/>
      <c r="F57" s="31"/>
      <c r="G57" s="31"/>
      <c r="H57" s="31"/>
    </row>
    <row r="58" spans="1:8" x14ac:dyDescent="0.25">
      <c r="A58" s="31"/>
      <c r="B58" s="137"/>
      <c r="C58" s="31"/>
      <c r="D58" s="31"/>
      <c r="E58" s="31"/>
      <c r="F58" s="31"/>
      <c r="G58" s="31"/>
      <c r="H58" s="31"/>
    </row>
    <row r="59" spans="1:8" x14ac:dyDescent="0.25">
      <c r="A59" s="31">
        <v>40</v>
      </c>
      <c r="B59" s="137">
        <v>70</v>
      </c>
      <c r="C59" s="31">
        <f>A59*B59</f>
        <v>2800</v>
      </c>
      <c r="D59" s="31"/>
      <c r="E59" s="31"/>
      <c r="F59" s="31"/>
      <c r="G59" s="31"/>
      <c r="H59" s="31"/>
    </row>
    <row r="60" spans="1:8" x14ac:dyDescent="0.25">
      <c r="A60" s="31"/>
      <c r="B60" s="137"/>
      <c r="C60" s="31"/>
      <c r="D60" s="31"/>
      <c r="E60" s="31"/>
      <c r="F60" s="31"/>
      <c r="G60" s="31"/>
      <c r="H60" s="31"/>
    </row>
    <row r="61" spans="1:8" x14ac:dyDescent="0.25">
      <c r="A61" s="31"/>
      <c r="B61" s="137"/>
      <c r="C61" s="31"/>
      <c r="D61" s="31"/>
      <c r="E61" s="31"/>
      <c r="F61" s="31"/>
      <c r="G61" s="31"/>
      <c r="H61" s="31"/>
    </row>
    <row r="62" spans="1:8" x14ac:dyDescent="0.25">
      <c r="A62" s="31"/>
      <c r="B62" s="137"/>
      <c r="C62" s="31"/>
      <c r="D62" s="31"/>
      <c r="E62" s="31"/>
      <c r="F62" s="31"/>
      <c r="G62" s="31"/>
      <c r="H62" s="31"/>
    </row>
    <row r="63" spans="1:8" x14ac:dyDescent="0.25">
      <c r="A63" s="31"/>
      <c r="B63" s="137"/>
      <c r="C63" s="31"/>
      <c r="D63" s="31"/>
      <c r="E63" s="31"/>
      <c r="F63" s="31"/>
      <c r="G63" s="31"/>
      <c r="H63" s="31"/>
    </row>
    <row r="64" spans="1:8" x14ac:dyDescent="0.25">
      <c r="A64" s="31"/>
      <c r="B64" s="137"/>
      <c r="C64" s="31"/>
      <c r="D64" s="31"/>
      <c r="E64" s="31"/>
      <c r="F64" s="31"/>
      <c r="G64" s="31"/>
      <c r="H64" s="31"/>
    </row>
    <row r="65" spans="1:8" x14ac:dyDescent="0.25">
      <c r="A65" s="31"/>
      <c r="B65" s="137"/>
      <c r="C65" s="31"/>
      <c r="D65" s="31"/>
      <c r="E65" s="31"/>
      <c r="F65" s="31"/>
      <c r="G65" s="31"/>
      <c r="H65" s="31"/>
    </row>
    <row r="66" spans="1:8" x14ac:dyDescent="0.25">
      <c r="A66" s="31"/>
      <c r="B66" s="137"/>
      <c r="C66" s="31"/>
      <c r="D66" s="31"/>
      <c r="E66" s="31"/>
      <c r="F66" s="31"/>
      <c r="G66" s="31"/>
      <c r="H66" s="31"/>
    </row>
    <row r="67" spans="1:8" x14ac:dyDescent="0.25">
      <c r="A67" s="31"/>
      <c r="B67" s="137"/>
      <c r="C67" s="31"/>
      <c r="D67" s="31"/>
      <c r="E67" s="31"/>
      <c r="F67" s="31"/>
      <c r="G67" s="31"/>
      <c r="H67" s="3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Packing</vt:lpstr>
      <vt:lpstr>Packing-2</vt:lpstr>
      <vt:lpstr>Coal</vt:lpstr>
      <vt:lpstr>Petcoke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Shirke</dc:creator>
  <cp:lastModifiedBy>Pratik Mehta</cp:lastModifiedBy>
  <dcterms:created xsi:type="dcterms:W3CDTF">2016-08-30T10:03:27Z</dcterms:created>
  <dcterms:modified xsi:type="dcterms:W3CDTF">2017-04-23T06:42:36Z</dcterms:modified>
</cp:coreProperties>
</file>